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3.xml" ContentType="application/vnd.openxmlformats-officedocument.drawing+xml"/>
  <Override PartName="/xl/tables/table2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asing\Desktop\"/>
    </mc:Choice>
  </mc:AlternateContent>
  <bookViews>
    <workbookView xWindow="0" yWindow="0" windowWidth="28770" windowHeight="7545"/>
  </bookViews>
  <sheets>
    <sheet name="DASHBOARD" sheetId="3" r:id="rId1"/>
    <sheet name="EXPENSES" sheetId="1" r:id="rId2"/>
    <sheet name="INCOME" sheetId="2" r:id="rId3"/>
    <sheet name="Sheet1" sheetId="4" r:id="rId4"/>
    <sheet name="DASHBOARD (2)" sheetId="5" r:id="rId5"/>
    <sheet name="EXPENSES (2)" sheetId="6" r:id="rId6"/>
    <sheet name="INCOME (2)" sheetId="7" r:id="rId7"/>
    <sheet name="Sheet5" sheetId="8" r:id="rId8"/>
    <sheet name="DASHBOARD (3)" sheetId="9" r:id="rId9"/>
    <sheet name="EXPENSES (3)" sheetId="10" r:id="rId10"/>
    <sheet name="INCOME (3)" sheetId="1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1" l="1"/>
  <c r="F8" i="11"/>
  <c r="G8" i="11"/>
  <c r="F9" i="11"/>
  <c r="F5" i="11" s="1"/>
  <c r="C6" i="9" s="1"/>
  <c r="G9" i="11"/>
  <c r="F10" i="11"/>
  <c r="G10" i="11"/>
  <c r="F11" i="11"/>
  <c r="G11" i="11"/>
  <c r="F15" i="11"/>
  <c r="G15" i="11"/>
  <c r="F16" i="11"/>
  <c r="G16" i="11"/>
  <c r="F17" i="11"/>
  <c r="G17" i="11"/>
  <c r="F18" i="11"/>
  <c r="G18" i="11"/>
  <c r="F22" i="11"/>
  <c r="G22" i="11"/>
  <c r="F23" i="11"/>
  <c r="G23" i="11"/>
  <c r="F24" i="11"/>
  <c r="G24" i="11"/>
  <c r="F25" i="11"/>
  <c r="G25" i="11"/>
  <c r="F29" i="11"/>
  <c r="G29" i="11"/>
  <c r="F30" i="11"/>
  <c r="F33" i="11" s="1"/>
  <c r="G30" i="11"/>
  <c r="G33" i="11" s="1"/>
  <c r="F31" i="11"/>
  <c r="G31" i="11"/>
  <c r="F32" i="11"/>
  <c r="G32" i="11"/>
  <c r="B2" i="10"/>
  <c r="G5" i="10"/>
  <c r="H5" i="10"/>
  <c r="C12" i="10"/>
  <c r="D12" i="10"/>
  <c r="G12" i="10"/>
  <c r="H12" i="10"/>
  <c r="C21" i="10"/>
  <c r="D21" i="10"/>
  <c r="G21" i="10"/>
  <c r="H21" i="10"/>
  <c r="G27" i="10"/>
  <c r="H27" i="10"/>
  <c r="C28" i="10"/>
  <c r="D28" i="10"/>
  <c r="C36" i="10"/>
  <c r="D36" i="10"/>
  <c r="C7" i="9"/>
  <c r="D7" i="9"/>
  <c r="B2" i="7"/>
  <c r="G5" i="7"/>
  <c r="D6" i="5" s="1"/>
  <c r="D8" i="5" s="1"/>
  <c r="F8" i="7"/>
  <c r="G8" i="7"/>
  <c r="F9" i="7"/>
  <c r="F5" i="7" s="1"/>
  <c r="C6" i="5" s="1"/>
  <c r="C8" i="5" s="1"/>
  <c r="G9" i="7"/>
  <c r="F10" i="7"/>
  <c r="G10" i="7"/>
  <c r="F11" i="7"/>
  <c r="G11" i="7"/>
  <c r="F15" i="7"/>
  <c r="G15" i="7"/>
  <c r="F16" i="7"/>
  <c r="G16" i="7"/>
  <c r="F17" i="7"/>
  <c r="G17" i="7"/>
  <c r="F18" i="7"/>
  <c r="G18" i="7"/>
  <c r="F22" i="7"/>
  <c r="G22" i="7"/>
  <c r="F23" i="7"/>
  <c r="G23" i="7"/>
  <c r="F24" i="7"/>
  <c r="G24" i="7"/>
  <c r="F25" i="7"/>
  <c r="G25" i="7"/>
  <c r="F29" i="7"/>
  <c r="G29" i="7"/>
  <c r="F30" i="7"/>
  <c r="F33" i="7" s="1"/>
  <c r="G30" i="7"/>
  <c r="G33" i="7" s="1"/>
  <c r="F31" i="7"/>
  <c r="G31" i="7"/>
  <c r="F32" i="7"/>
  <c r="G32" i="7"/>
  <c r="B2" i="6"/>
  <c r="G5" i="6"/>
  <c r="H5" i="6"/>
  <c r="C12" i="6"/>
  <c r="D12" i="6"/>
  <c r="G12" i="6"/>
  <c r="H12" i="6"/>
  <c r="C21" i="6"/>
  <c r="D21" i="6"/>
  <c r="G21" i="6"/>
  <c r="H21" i="6"/>
  <c r="G27" i="6"/>
  <c r="H27" i="6"/>
  <c r="C28" i="6"/>
  <c r="D28" i="6"/>
  <c r="C36" i="6"/>
  <c r="D36" i="6"/>
  <c r="C7" i="5"/>
  <c r="D7" i="5"/>
  <c r="G5" i="11" l="1"/>
  <c r="D6" i="9" s="1"/>
  <c r="D8" i="9" s="1"/>
  <c r="C8" i="9"/>
  <c r="G29" i="2"/>
  <c r="G30" i="2"/>
  <c r="G31" i="2"/>
  <c r="G32" i="2"/>
  <c r="F29" i="2"/>
  <c r="F30" i="2"/>
  <c r="F31" i="2"/>
  <c r="F32" i="2"/>
  <c r="G22" i="2"/>
  <c r="G23" i="2"/>
  <c r="G24" i="2"/>
  <c r="F22" i="2"/>
  <c r="F25" i="2" s="1"/>
  <c r="F23" i="2"/>
  <c r="F24" i="2"/>
  <c r="G15" i="2"/>
  <c r="G16" i="2"/>
  <c r="G18" i="2" s="1"/>
  <c r="G17" i="2"/>
  <c r="F15" i="2"/>
  <c r="F16" i="2"/>
  <c r="F17" i="2"/>
  <c r="G8" i="2"/>
  <c r="G9" i="2"/>
  <c r="G11" i="2" s="1"/>
  <c r="G10" i="2"/>
  <c r="F8" i="2"/>
  <c r="F5" i="2" s="1"/>
  <c r="C6" i="3" s="1"/>
  <c r="F9" i="2"/>
  <c r="F10" i="2"/>
  <c r="B2" i="2"/>
  <c r="B2" i="1"/>
  <c r="G25" i="2"/>
  <c r="H5" i="1"/>
  <c r="D7" i="3" s="1"/>
  <c r="G5" i="1"/>
  <c r="C7" i="3" s="1"/>
  <c r="C12" i="1"/>
  <c r="D12" i="1"/>
  <c r="G12" i="1"/>
  <c r="H12" i="1"/>
  <c r="D36" i="1"/>
  <c r="C36" i="1"/>
  <c r="C28" i="1"/>
  <c r="D28" i="1"/>
  <c r="G27" i="1"/>
  <c r="H27" i="1"/>
  <c r="H21" i="1"/>
  <c r="G21" i="1"/>
  <c r="C21" i="1"/>
  <c r="F11" i="2" l="1"/>
  <c r="F18" i="2"/>
  <c r="F33" i="2"/>
  <c r="G33" i="2"/>
  <c r="G5" i="2"/>
  <c r="D6" i="3" s="1"/>
  <c r="D8" i="3" s="1"/>
  <c r="C8" i="3"/>
  <c r="D21" i="1"/>
</calcChain>
</file>

<file path=xl/sharedStrings.xml><?xml version="1.0" encoding="utf-8"?>
<sst xmlns="http://schemas.openxmlformats.org/spreadsheetml/2006/main" count="351" uniqueCount="83">
  <si>
    <t>Expenses</t>
  </si>
  <si>
    <t>Estimated</t>
  </si>
  <si>
    <t>Actual</t>
  </si>
  <si>
    <t>Site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</si>
  <si>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</si>
  <si>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</si>
  <si>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</si>
  <si>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</si>
  <si>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</si>
  <si>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</si>
  <si>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</si>
  <si>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</si>
  <si>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</si>
  <si>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</si>
  <si>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</si>
  <si>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</si>
  <si>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</si>
  <si>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</si>
  <si>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</si>
  <si>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</si>
  <si>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</si>
  <si>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</si>
  <si>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</si>
  <si>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</si>
  <si>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</si>
  <si>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</si>
  <si>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</si>
  <si>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</si>
  <si>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</si>
  <si>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</si>
  <si>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</si>
  <si>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</si>
  <si>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</si>
  <si>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</si>
  <si>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</si>
  <si>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</si>
  <si>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Adults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</si>
  <si>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</si>
  <si>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</si>
  <si>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</si>
  <si>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</si>
  <si>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</si>
  <si>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</si>
  <si>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</si>
  <si>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</si>
  <si>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</si>
  <si>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</si>
  <si>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</si>
  <si>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</t>
  </si>
  <si>
    <t xml:space="preserve"> </t>
  </si>
  <si>
    <t xml:space="preserve">  </t>
  </si>
  <si>
    <t xml:space="preserve">Estimated </t>
  </si>
  <si>
    <t xml:space="preserve">Actual </t>
  </si>
  <si>
    <t>Profit - Loss Summary</t>
  </si>
  <si>
    <t>TOTAL INCOME</t>
  </si>
  <si>
    <t>TOTAL EXPENSES</t>
  </si>
  <si>
    <t>TOTAL PROFIT</t>
  </si>
  <si>
    <t>Event Budget for Fade to Black</t>
  </si>
  <si>
    <t>VIP Refreshments</t>
  </si>
  <si>
    <t>DJ</t>
  </si>
  <si>
    <t>(COMP)</t>
  </si>
  <si>
    <t>Promoter Fee</t>
  </si>
  <si>
    <t>Nov. 5th, 2017</t>
  </si>
  <si>
    <t>VIP TABLE</t>
  </si>
  <si>
    <t>Winter White Mansion Party (Partnership): Dec. 9, 2017</t>
  </si>
  <si>
    <t>Incidentals</t>
  </si>
  <si>
    <t>Wristbands</t>
  </si>
  <si>
    <t>Ice Scupture(s)</t>
  </si>
  <si>
    <t>Step and Repeat</t>
  </si>
  <si>
    <t>Dec. 9th, 2017</t>
  </si>
  <si>
    <t>Kappa Derby: April 14, 2018</t>
  </si>
  <si>
    <t>Commercials</t>
  </si>
  <si>
    <t>Grand Prizes</t>
  </si>
  <si>
    <t>Door Prizes</t>
  </si>
  <si>
    <t>COMP</t>
  </si>
  <si>
    <t>Horse Racing Video</t>
  </si>
  <si>
    <t>DJs</t>
  </si>
  <si>
    <t>Cigars</t>
  </si>
  <si>
    <t>Race Sponsorship @</t>
  </si>
  <si>
    <t>Horse Sponsorship@</t>
  </si>
  <si>
    <t>Horse Racing</t>
  </si>
  <si>
    <t>Bottle Services/Table @</t>
  </si>
  <si>
    <t>VIP Entry@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</si>
</sst>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color theme="1" tint="0.14996795556505021"/>
      <name val="Century Gothic"/>
      <family val="2"/>
      <scheme val="minor"/>
    </font>
    <font>
      <sz val="22"/>
      <color theme="3" tint="9.9948118533890809E-2"/>
      <name val="Bookman Old Style"/>
      <family val="1"/>
      <scheme val="major"/>
    </font>
    <font>
      <sz val="14"/>
      <color theme="3" tint="9.9948118533890809E-2"/>
      <name val="Bookman Old Style"/>
      <family val="1"/>
      <scheme val="major"/>
    </font>
    <font>
      <b/>
      <sz val="11"/>
      <color theme="1" tint="0.24994659260841701"/>
      <name val="Bookman Old Style"/>
      <family val="1"/>
      <scheme val="major"/>
    </font>
    <font>
      <sz val="12"/>
      <color theme="1" tint="0.24994659260841701"/>
      <name val="Bookman Old Style"/>
      <family val="1"/>
      <scheme val="major"/>
    </font>
    <font>
      <sz val="9"/>
      <color theme="1" tint="0.14996795556505021"/>
      <name val="Bookman Old Style"/>
      <family val="1"/>
      <scheme val="major"/>
    </font>
    <font>
      <sz val="11"/>
      <color theme="1" tint="0.14996795556505021"/>
      <name val="Bookman Old Style"/>
      <family val="1"/>
      <scheme val="major"/>
    </font>
    <font>
      <sz val="11"/>
      <color theme="1" tint="0.14996795556505021"/>
      <name val="Century Gothic"/>
      <family val="2"/>
      <scheme val="minor"/>
    </font>
    <font>
      <b/>
      <sz val="10"/>
      <color theme="1" tint="0.14996795556505021"/>
      <name val="Century Gothic"/>
      <family val="2"/>
      <scheme val="minor"/>
    </font>
    <font>
      <sz val="20"/>
      <color theme="3" tint="9.9948118533890809E-2"/>
      <name val="Bookman Old Style"/>
      <family val="1"/>
      <scheme val="major"/>
    </font>
    <font>
      <sz val="18"/>
      <color theme="3" tint="9.9948118533890809E-2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1"/>
    <xf numFmtId="0" fontId="2" fillId="0" borderId="0" xfId="2"/>
    <xf numFmtId="0" fontId="3" fillId="0" borderId="0" xfId="3"/>
    <xf numFmtId="0" fontId="4" fillId="0" borderId="0" xfId="4"/>
    <xf numFmtId="0" fontId="0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 applyFill="1" applyBorder="1"/>
    <xf numFmtId="0" fontId="1" fillId="0" borderId="1" xfId="1" applyAlignment="1">
      <alignment horizontal="right"/>
    </xf>
    <xf numFmtId="0" fontId="2" fillId="0" borderId="0" xfId="2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/>
    <xf numFmtId="0" fontId="4" fillId="2" borderId="2" xfId="4" applyFill="1" applyBorder="1"/>
    <xf numFmtId="164" fontId="4" fillId="2" borderId="3" xfId="4" applyNumberFormat="1" applyFill="1" applyBorder="1"/>
    <xf numFmtId="164" fontId="8" fillId="0" borderId="0" xfId="0" applyNumberFormat="1" applyFont="1" applyFill="1" applyBorder="1" applyAlignment="1">
      <alignment horizontal="center"/>
    </xf>
    <xf numFmtId="0" fontId="9" fillId="0" borderId="1" xfId="1" applyFont="1"/>
    <xf numFmtId="0" fontId="0" fillId="0" borderId="0" xfId="0" applyAlignment="1">
      <alignment horizontal="center"/>
    </xf>
    <xf numFmtId="0" fontId="10" fillId="0" borderId="1" xfId="1" applyFont="1"/>
    <xf numFmtId="164" fontId="0" fillId="0" borderId="0" xfId="0" applyNumberFormat="1" applyFont="1" applyFill="1" applyBorder="1" applyAlignment="1">
      <alignment horizontal="center"/>
    </xf>
    <xf numFmtId="0" fontId="1" fillId="0" borderId="1" xfId="1" applyFont="1"/>
    <xf numFmtId="164" fontId="0" fillId="0" borderId="0" xfId="0" applyNumberFormat="1" applyFont="1" applyFill="1" applyBorder="1" applyAlignment="1">
      <alignment horizontal="righ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09"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DASHBOARD!$C$6:$D$6</c:f>
              <c:numCache>
                <c:formatCode>"$"#,##0.00</c:formatCode>
                <c:ptCount val="2"/>
                <c:pt idx="0">
                  <c:v>2000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D-4519-9221-654A6C24FE13}"/>
            </c:ext>
          </c:extLst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DASHBOARD!$C$7:$D$7</c:f>
              <c:numCache>
                <c:formatCode>"$"#,##0.00</c:formatCode>
                <c:ptCount val="2"/>
                <c:pt idx="0">
                  <c:v>900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D-4519-9221-654A6C24F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523250496"/>
        <c:axId val="523250888"/>
      </c:barChart>
      <c:catAx>
        <c:axId val="5232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50888"/>
        <c:crosses val="autoZero"/>
        <c:auto val="1"/>
        <c:lblAlgn val="ctr"/>
        <c:lblOffset val="100"/>
        <c:noMultiLvlLbl val="0"/>
      </c:catAx>
      <c:valAx>
        <c:axId val="5232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A309-44BB-9BE5-62CE157AAAE4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A309-44BB-9BE5-62CE157AAAE4}"/>
              </c:ext>
            </c:extLst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DASHBOARD!$C$6:$C$7</c:f>
              <c:numCache>
                <c:formatCode>"$"#,##0.00</c:formatCode>
                <c:ptCount val="2"/>
                <c:pt idx="0">
                  <c:v>2000</c:v>
                </c:pt>
                <c:pt idx="1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09-44BB-9BE5-62CE157A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DB87-4AB1-BA61-89B7C9C3906C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DB87-4AB1-BA61-89B7C9C3906C}"/>
              </c:ext>
            </c:extLst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DASHBOARD!$D$6:$D$7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7-4AB1-BA61-89B7C9C3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(2)'!$B$6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(2)'!$C$5:$D$5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'DASHBOARD (2)'!$C$6:$D$6</c:f>
              <c:numCache>
                <c:formatCode>"$"#,##0.00</c:formatCode>
                <c:ptCount val="2"/>
                <c:pt idx="0">
                  <c:v>8750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B-424A-B864-341F9BE62A50}"/>
            </c:ext>
          </c:extLst>
        </c:ser>
        <c:ser>
          <c:idx val="1"/>
          <c:order val="1"/>
          <c:tx>
            <c:strRef>
              <c:f>'DASHBOARD (2)'!$B$7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(2)'!$C$5:$D$5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'DASHBOARD (2)'!$C$7:$D$7</c:f>
              <c:numCache>
                <c:formatCode>"$"#,##0.00</c:formatCode>
                <c:ptCount val="2"/>
                <c:pt idx="0">
                  <c:v>4505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B-424A-B864-341F9BE6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527542168"/>
        <c:axId val="527543344"/>
      </c:barChart>
      <c:catAx>
        <c:axId val="52754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43344"/>
        <c:crosses val="autoZero"/>
        <c:auto val="1"/>
        <c:lblAlgn val="ctr"/>
        <c:lblOffset val="100"/>
        <c:noMultiLvlLbl val="0"/>
      </c:catAx>
      <c:valAx>
        <c:axId val="52754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4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D23B-4408-A211-13310131B535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D23B-4408-A211-13310131B535}"/>
              </c:ext>
            </c:extLst>
          </c:dPt>
          <c:cat>
            <c:strRef>
              <c:f>'DASHBOARD (2)'!$B$6:$B$7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'DASHBOARD (2)'!$C$6:$C$7</c:f>
              <c:numCache>
                <c:formatCode>"$"#,##0.00</c:formatCode>
                <c:ptCount val="2"/>
                <c:pt idx="0">
                  <c:v>8750</c:v>
                </c:pt>
                <c:pt idx="1">
                  <c:v>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B-4408-A211-13310131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93B3-4929-B110-12DF6F6EC54E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93B3-4929-B110-12DF6F6EC54E}"/>
              </c:ext>
            </c:extLst>
          </c:dPt>
          <c:cat>
            <c:strRef>
              <c:f>'DASHBOARD (2)'!$B$6:$B$7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'DASHBOARD (2)'!$D$6:$D$7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B3-4929-B110-12DF6F6EC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(3)'!$B$6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(3)'!$C$5:$D$5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'DASHBOARD (3)'!$C$6:$D$6</c:f>
              <c:numCache>
                <c:formatCode>"$"#,##0.00</c:formatCode>
                <c:ptCount val="2"/>
                <c:pt idx="0">
                  <c:v>9400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CE6-A106-DD16247BF8AC}"/>
            </c:ext>
          </c:extLst>
        </c:ser>
        <c:ser>
          <c:idx val="1"/>
          <c:order val="1"/>
          <c:tx>
            <c:strRef>
              <c:f>'DASHBOARD (3)'!$B$7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(3)'!$C$5:$D$5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'DASHBOARD (3)'!$C$7:$D$7</c:f>
              <c:numCache>
                <c:formatCode>"$"#,##0.00</c:formatCode>
                <c:ptCount val="2"/>
                <c:pt idx="0">
                  <c:v>3560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5-4CE6-A106-DD16247BF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7469976"/>
        <c:axId val="523252848"/>
      </c:barChart>
      <c:catAx>
        <c:axId val="4746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52848"/>
        <c:crosses val="autoZero"/>
        <c:auto val="1"/>
        <c:lblAlgn val="ctr"/>
        <c:lblOffset val="100"/>
        <c:noMultiLvlLbl val="0"/>
      </c:catAx>
      <c:valAx>
        <c:axId val="5232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8B4D-4626-BAE2-10F227E018F5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8B4D-4626-BAE2-10F227E018F5}"/>
              </c:ext>
            </c:extLst>
          </c:dPt>
          <c:cat>
            <c:strRef>
              <c:f>'DASHBOARD (3)'!$B$6:$B$7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'DASHBOARD (3)'!$C$6:$C$7</c:f>
              <c:numCache>
                <c:formatCode>"$"#,##0.00</c:formatCode>
                <c:ptCount val="2"/>
                <c:pt idx="0">
                  <c:v>9400</c:v>
                </c:pt>
                <c:pt idx="1">
                  <c:v>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D-4626-BAE2-10F227E01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2F9D-4FCB-8A05-CC1A14055ABC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2F9D-4FCB-8A05-CC1A14055ABC}"/>
              </c:ext>
            </c:extLst>
          </c:dPt>
          <c:cat>
            <c:strRef>
              <c:f>'DASHBOARD (3)'!$B$6:$B$7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'DASHBOARD (3)'!$D$6:$D$7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9D-4FCB-8A05-CC1A14055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4" name="Chart 3" descr="Column chart showing total income versus total expenses." title="Total profit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</xdr:row>
      <xdr:rowOff>161925</xdr:rowOff>
    </xdr:from>
    <xdr:to>
      <xdr:col>3</xdr:col>
      <xdr:colOff>1047750</xdr:colOff>
      <xdr:row>21</xdr:row>
      <xdr:rowOff>104775</xdr:rowOff>
    </xdr:to>
    <xdr:graphicFrame macro="">
      <xdr:nvGraphicFramePr>
        <xdr:cNvPr id="5" name="Chart 4" descr="Pie chart showing total income versus expenses of estimated totals only." title="Estimated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6" name="Chart 5" descr="Pie chart showing total income versus expenses of actual totals only." title="Actual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2" name="Chart 1" descr="Column chart showing total income versus total expenses." title="Total profit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</xdr:row>
      <xdr:rowOff>161925</xdr:rowOff>
    </xdr:from>
    <xdr:to>
      <xdr:col>3</xdr:col>
      <xdr:colOff>1047750</xdr:colOff>
      <xdr:row>21</xdr:row>
      <xdr:rowOff>104775</xdr:rowOff>
    </xdr:to>
    <xdr:graphicFrame macro="">
      <xdr:nvGraphicFramePr>
        <xdr:cNvPr id="3" name="Chart 2" descr="Pie chart showing total income versus expenses of estimated totals only." title="Estimated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4" name="Chart 3" descr="Pie chart showing total income versus expenses of actual totals only." title="Actual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2" name="Chart 1" descr="Column chart showing total income versus total expenses." title="Total profit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</xdr:row>
      <xdr:rowOff>161925</xdr:rowOff>
    </xdr:from>
    <xdr:to>
      <xdr:col>3</xdr:col>
      <xdr:colOff>1047750</xdr:colOff>
      <xdr:row>21</xdr:row>
      <xdr:rowOff>104775</xdr:rowOff>
    </xdr:to>
    <xdr:graphicFrame macro="">
      <xdr:nvGraphicFramePr>
        <xdr:cNvPr id="3" name="Chart 2" descr="Pie chart showing total income versus expenses of estimated totals only." title="Estimated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4" name="Chart 3" descr="Pie chart showing total income versus expenses of actual totals only." title="Actual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tblTotal" displayName="tblTotal" ref="B5:D8" totalsRowShown="0" headerRowDxfId="208" dataDxfId="207">
  <autoFilter ref="B5:D8">
    <filterColumn colId="0" hiddenButton="1"/>
    <filterColumn colId="1" hiddenButton="1"/>
    <filterColumn colId="2" hiddenButton="1"/>
  </autoFilter>
  <tableColumns count="3">
    <tableColumn id="1" name=" " dataDxfId="206"/>
    <tableColumn id="2" name="Estimated" dataDxfId="205"/>
    <tableColumn id="3" name="Actual" dataDxfId="204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0.xml><?xml version="1.0" encoding="utf-8"?>
<table xmlns="http://schemas.openxmlformats.org/spreadsheetml/2006/main" id="9" name="tblItems" displayName="tblItems" ref="B28:G33" totalsRowCount="1" headerRowDxfId="170">
  <autoFilter ref="B28:G32"/>
  <tableColumns count="6">
    <tableColumn id="1" name="Estimated" totalsRowLabel="Total" totalsRowDxfId="169"/>
    <tableColumn id="2" name="Actual" totalsRowDxfId="168"/>
    <tableColumn id="3" name=" " dataDxfId="167" totalsRowDxfId="166"/>
    <tableColumn id="4" name="  " totalsRowDxfId="165"/>
    <tableColumn id="5" name="Estimated " totalsRowFunction="sum" dataDxfId="164">
      <calculatedColumnFormula>tblItems[[#This Row],[  ]]*tblItems[[#This Row],[Estimated]]</calculatedColumnFormula>
    </tableColumn>
    <tableColumn id="6" name="Actual " totalsRowFunction="sum" dataDxfId="163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11.xml><?xml version="1.0" encoding="utf-8"?>
<table xmlns="http://schemas.openxmlformats.org/spreadsheetml/2006/main" id="10" name="tblVendors" displayName="tblVendors" ref="B21:G25" totalsRowCount="1" headerRowDxfId="162">
  <autoFilter ref="B21:G24"/>
  <tableColumns count="6">
    <tableColumn id="1" name="Estimated" totalsRowLabel="Total" totalsRowDxfId="161"/>
    <tableColumn id="2" name="Actual" totalsRowDxfId="160"/>
    <tableColumn id="3" name=" " dataDxfId="159" totalsRowDxfId="158"/>
    <tableColumn id="4" name="  " totalsRowDxfId="157"/>
    <tableColumn id="5" name="Estimated " totalsRowFunction="sum" dataDxfId="156" totalsRowDxfId="155">
      <calculatedColumnFormula>tblVendors[[#This Row],[  ]]*tblVendors[[#This Row],[Estimated]]</calculatedColumnFormula>
    </tableColumn>
    <tableColumn id="6" name="Actual " totalsRowFunction="sum" dataDxfId="154" totalsRowDxfId="153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12.xml><?xml version="1.0" encoding="utf-8"?>
<table xmlns="http://schemas.openxmlformats.org/spreadsheetml/2006/main" id="11" name="tblAds" displayName="tblAds" ref="B14:G18" totalsRowCount="1" headerRowDxfId="152">
  <autoFilter ref="B14:G17"/>
  <tableColumns count="6">
    <tableColumn id="1" name="Estimated" totalsRowLabel="Total" totalsRowDxfId="151"/>
    <tableColumn id="2" name="Actual" totalsRowDxfId="150"/>
    <tableColumn id="3" name=" " dataDxfId="149" totalsRowDxfId="148"/>
    <tableColumn id="4" name="  " totalsRowDxfId="147"/>
    <tableColumn id="5" name="Estimated " totalsRowFunction="sum" dataDxfId="146" totalsRowDxfId="145">
      <calculatedColumnFormula>tblAds[[#This Row],[  ]]*tblAds[[#This Row],[Estimated]]</calculatedColumnFormula>
    </tableColumn>
    <tableColumn id="6" name="Actual " totalsRowFunction="sum" dataDxfId="144" totalsRowDxfId="143">
      <calculatedColumnFormula>tblAds[[#This Row],[  ]]*tblAds[[#This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13.xml><?xml version="1.0" encoding="utf-8"?>
<table xmlns="http://schemas.openxmlformats.org/spreadsheetml/2006/main" id="13" name="tblTotal14" displayName="tblTotal14" ref="B5:D8" totalsRowShown="0" headerRowDxfId="142" dataDxfId="141">
  <autoFilter ref="B5:D8">
    <filterColumn colId="0" hiddenButton="1"/>
    <filterColumn colId="1" hiddenButton="1"/>
    <filterColumn colId="2" hiddenButton="1"/>
  </autoFilter>
  <tableColumns count="3">
    <tableColumn id="1" name=" " dataDxfId="140"/>
    <tableColumn id="2" name="Estimated" dataDxfId="139"/>
    <tableColumn id="3" name="Actual" dataDxfId="138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4.xml><?xml version="1.0" encoding="utf-8"?>
<table xmlns="http://schemas.openxmlformats.org/spreadsheetml/2006/main" id="14" name="tblSite15" displayName="tblSite15" ref="B7:D12" totalsRowCount="1" headerRowDxfId="137">
  <autoFilter ref="B7:D11"/>
  <tableColumns count="3">
    <tableColumn id="1" name="Site" totalsRowLabel="Total" totalsRowDxfId="136"/>
    <tableColumn id="2" name="Estimated" totalsRowFunction="sum" totalsRowDxfId="135"/>
    <tableColumn id="3" name="Actual" totalsRowFunction="sum" totalsRowDxfId="13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15.xml><?xml version="1.0" encoding="utf-8"?>
<table xmlns="http://schemas.openxmlformats.org/spreadsheetml/2006/main" id="15" name="tblRefreshments16" displayName="tblRefreshments16" ref="F7:H12" totalsRowCount="1" headerRowDxfId="133">
  <autoFilter ref="F7:H11"/>
  <tableColumns count="3">
    <tableColumn id="1" name="VIP Refreshments" totalsRowLabel="Total" totalsRowDxfId="132"/>
    <tableColumn id="2" name="Estimated" totalsRowFunction="sum" totalsRowDxfId="131"/>
    <tableColumn id="3" name="Actual" totalsRowFunction="sum" totalsRowDxfId="13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16.xml><?xml version="1.0" encoding="utf-8"?>
<table xmlns="http://schemas.openxmlformats.org/spreadsheetml/2006/main" id="16" name="tblPrograms17" displayName="tblPrograms17" ref="F15:H21" totalsRowCount="1" headerRowDxfId="129">
  <autoFilter ref="F15:H20"/>
  <tableColumns count="3">
    <tableColumn id="1" name="Program" totalsRowLabel="Total" totalsRowDxfId="128"/>
    <tableColumn id="2" name="Estimated" totalsRowFunction="sum" totalsRowDxfId="127"/>
    <tableColumn id="3" name="Actual" totalsRowFunction="sum" totalsRowDxfId="126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17.xml><?xml version="1.0" encoding="utf-8"?>
<table xmlns="http://schemas.openxmlformats.org/spreadsheetml/2006/main" id="17" name="tblDecorations18" displayName="tblDecorations18" ref="B15:D21" totalsRowCount="1" headerRowDxfId="125">
  <autoFilter ref="B15:D20"/>
  <tableColumns count="3">
    <tableColumn id="1" name="Decorations" totalsRowLabel="Total" totalsRowDxfId="124"/>
    <tableColumn id="2" name="Estimated" totalsRowFunction="sum" totalsRowDxfId="123"/>
    <tableColumn id="3" name="Actual" totalsRowFunction="sum" totalsRowDxfId="122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18.xml><?xml version="1.0" encoding="utf-8"?>
<table xmlns="http://schemas.openxmlformats.org/spreadsheetml/2006/main" id="18" name="tblPublicity19" displayName="tblPublicity19" ref="B24:D28" totalsRowCount="1" headerRowDxfId="121">
  <autoFilter ref="B24:D27"/>
  <tableColumns count="3">
    <tableColumn id="1" name="Publicity" totalsRowLabel="Total" totalsRowDxfId="120"/>
    <tableColumn id="2" name="Estimated" totalsRowFunction="sum" totalsRowDxfId="119"/>
    <tableColumn id="3" name="Actual" totalsRowFunction="sum" totalsRowDxfId="118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19.xml><?xml version="1.0" encoding="utf-8"?>
<table xmlns="http://schemas.openxmlformats.org/spreadsheetml/2006/main" id="19" name="tblPrizes20" displayName="tblPrizes20" ref="F24:H27" totalsRowCount="1" headerRowDxfId="117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2.xml><?xml version="1.0" encoding="utf-8"?>
<table xmlns="http://schemas.openxmlformats.org/spreadsheetml/2006/main" id="1" name="tblSite" displayName="tblSite" ref="B7:D12" totalsRowCount="1" headerRowDxfId="203">
  <autoFilter ref="B7:D11"/>
  <tableColumns count="3">
    <tableColumn id="1" name="Site" totalsRowLabel="Total" totalsRowDxfId="202"/>
    <tableColumn id="2" name="Estimated" totalsRowFunction="sum" totalsRowDxfId="201"/>
    <tableColumn id="3" name="Actual" totalsRowFunction="sum" totalsRowDxfId="20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20.xml><?xml version="1.0" encoding="utf-8"?>
<table xmlns="http://schemas.openxmlformats.org/spreadsheetml/2006/main" id="20" name="tblMisc21" displayName="tblMisc21" ref="B31:D36" totalsRowCount="1" headerRowDxfId="116">
  <autoFilter ref="B31:D35"/>
  <tableColumns count="3">
    <tableColumn id="1" name="Miscellaneous" totalsRowLabel="Total" totalsRowDxfId="115"/>
    <tableColumn id="2" name="Estimated" totalsRowFunction="sum" totalsRowDxfId="114"/>
    <tableColumn id="3" name="Actual" totalsRowFunction="sum" totalsRowDxfId="113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21.xml><?xml version="1.0" encoding="utf-8"?>
<table xmlns="http://schemas.openxmlformats.org/spreadsheetml/2006/main" id="21" name="tblAdmissions22" displayName="tblAdmissions22" ref="B7:G11" totalsRowCount="1" headerRowDxfId="112">
  <autoFilter ref="B7:G10"/>
  <tableColumns count="6">
    <tableColumn id="1" name="Estimated" totalsRowLabel="Total" totalsRowDxfId="111"/>
    <tableColumn id="2" name="Actual" totalsRowDxfId="110"/>
    <tableColumn id="3" name=" " dataDxfId="108" totalsRowDxfId="109"/>
    <tableColumn id="4" name="  " dataDxfId="106" totalsRowDxfId="107"/>
    <tableColumn id="5" name="Estimated " totalsRowFunction="sum" dataDxfId="104" totalsRowDxfId="105">
      <calculatedColumnFormula>tblAdmissions22[[#This Row],[  ]]*tblAdmissions22[[#This Row],[Estimated]]</calculatedColumnFormula>
    </tableColumn>
    <tableColumn id="6" name="Actual " totalsRowFunction="sum" dataDxfId="102" totalsRowDxfId="103">
      <calculatedColumnFormula>tblAdmissions22[[#This Row],[  ]]*tblAdmissions22[[#This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ables/table22.xml><?xml version="1.0" encoding="utf-8"?>
<table xmlns="http://schemas.openxmlformats.org/spreadsheetml/2006/main" id="22" name="tblItems23" displayName="tblItems23" ref="B28:G33" totalsRowCount="1" headerRowDxfId="101">
  <autoFilter ref="B28:G32"/>
  <tableColumns count="6">
    <tableColumn id="1" name="Estimated" totalsRowLabel="Total" totalsRowDxfId="100"/>
    <tableColumn id="2" name="Actual" totalsRowDxfId="99"/>
    <tableColumn id="3" name=" " dataDxfId="97" totalsRowDxfId="98"/>
    <tableColumn id="4" name="  " totalsRowDxfId="96"/>
    <tableColumn id="5" name="Estimated " totalsRowFunction="sum" dataDxfId="95">
      <calculatedColumnFormula>tblItems23[[#This Row],[  ]]*tblItems23[[#This Row],[Estimated]]</calculatedColumnFormula>
    </tableColumn>
    <tableColumn id="6" name="Actual " totalsRowFunction="sum" dataDxfId="94">
      <calculatedColumnFormula>tblItems23[[#This Row],[  ]]*tblItems23[[#This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23.xml><?xml version="1.0" encoding="utf-8"?>
<table xmlns="http://schemas.openxmlformats.org/spreadsheetml/2006/main" id="23" name="tblVendors24" displayName="tblVendors24" ref="B21:G25" totalsRowCount="1" headerRowDxfId="93">
  <autoFilter ref="B21:G24"/>
  <tableColumns count="6">
    <tableColumn id="1" name="Estimated" totalsRowLabel="Total" totalsRowDxfId="92"/>
    <tableColumn id="2" name="Actual" totalsRowDxfId="91"/>
    <tableColumn id="3" name=" " dataDxfId="89" totalsRowDxfId="90"/>
    <tableColumn id="4" name="  " totalsRowDxfId="88"/>
    <tableColumn id="5" name="Estimated " totalsRowFunction="sum" dataDxfId="86" totalsRowDxfId="87">
      <calculatedColumnFormula>tblVendors24[[#This Row],[  ]]*tblVendors24[[#This Row],[Estimated]]</calculatedColumnFormula>
    </tableColumn>
    <tableColumn id="6" name="Actual " totalsRowFunction="sum" dataDxfId="84" totalsRowDxfId="85">
      <calculatedColumnFormula>tblVendors24[[#This Row],[  ]]*tblVendors24[[#This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24.xml><?xml version="1.0" encoding="utf-8"?>
<table xmlns="http://schemas.openxmlformats.org/spreadsheetml/2006/main" id="24" name="tblAds25" displayName="tblAds25" ref="B14:G18" totalsRowCount="1" headerRowDxfId="83">
  <autoFilter ref="B14:G17"/>
  <tableColumns count="6">
    <tableColumn id="1" name="Estimated" totalsRowLabel="Total" totalsRowDxfId="82"/>
    <tableColumn id="2" name="Actual" totalsRowDxfId="81"/>
    <tableColumn id="3" name=" " dataDxfId="79" totalsRowDxfId="80"/>
    <tableColumn id="4" name="  " totalsRowDxfId="78"/>
    <tableColumn id="5" name="Estimated " totalsRowFunction="sum" dataDxfId="76" totalsRowDxfId="77">
      <calculatedColumnFormula>tblAds25[[#This Row],[  ]]*tblAds25[[#This Row],[Estimated]]</calculatedColumnFormula>
    </tableColumn>
    <tableColumn id="6" name="Actual " totalsRowFunction="sum" dataDxfId="74" totalsRowDxfId="75">
      <calculatedColumnFormula>tblAds25[[#This Row],[  ]]*tblAds25[[#This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25.xml><?xml version="1.0" encoding="utf-8"?>
<table xmlns="http://schemas.openxmlformats.org/spreadsheetml/2006/main" id="25" name="tblTotal26" displayName="tblTotal26" ref="B5:D8" totalsRowShown="0" headerRowDxfId="73" dataDxfId="72">
  <autoFilter ref="B5:D8">
    <filterColumn colId="0" hiddenButton="1"/>
    <filterColumn colId="1" hiddenButton="1"/>
    <filterColumn colId="2" hiddenButton="1"/>
  </autoFilter>
  <tableColumns count="3">
    <tableColumn id="1" name=" " dataDxfId="71"/>
    <tableColumn id="2" name="Estimated" dataDxfId="70"/>
    <tableColumn id="3" name="Actual" dataDxfId="69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26.xml><?xml version="1.0" encoding="utf-8"?>
<table xmlns="http://schemas.openxmlformats.org/spreadsheetml/2006/main" id="26" name="tblSite27" displayName="tblSite27" ref="B7:D12" totalsRowCount="1" headerRowDxfId="68">
  <autoFilter ref="B7:D11"/>
  <tableColumns count="3">
    <tableColumn id="1" name="Site" totalsRowLabel="Total" totalsRowDxfId="67"/>
    <tableColumn id="2" name="Estimated" totalsRowFunction="sum" totalsRowDxfId="66"/>
    <tableColumn id="3" name="Actual" totalsRowFunction="sum" totalsRowDxfId="65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27.xml><?xml version="1.0" encoding="utf-8"?>
<table xmlns="http://schemas.openxmlformats.org/spreadsheetml/2006/main" id="27" name="tblRefreshments28" displayName="tblRefreshments28" ref="F7:H12" totalsRowCount="1" headerRowDxfId="64">
  <autoFilter ref="F7:H11"/>
  <tableColumns count="3">
    <tableColumn id="1" name="VIP Refreshments" totalsRowLabel="Total" totalsRowDxfId="63"/>
    <tableColumn id="2" name="Estimated" totalsRowFunction="sum" totalsRowDxfId="62"/>
    <tableColumn id="3" name="Actual" totalsRowFunction="sum" totalsRowDxfId="61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28.xml><?xml version="1.0" encoding="utf-8"?>
<table xmlns="http://schemas.openxmlformats.org/spreadsheetml/2006/main" id="28" name="tblPrograms29" displayName="tblPrograms29" ref="F15:H21" totalsRowCount="1" headerRowDxfId="60">
  <autoFilter ref="F15:H20"/>
  <tableColumns count="3">
    <tableColumn id="1" name="Program" totalsRowLabel="Total" totalsRowDxfId="59"/>
    <tableColumn id="2" name="Estimated" totalsRowFunction="sum" totalsRowDxfId="58"/>
    <tableColumn id="3" name="Actual" totalsRowFunction="sum" totalsRowDxfId="57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29.xml><?xml version="1.0" encoding="utf-8"?>
<table xmlns="http://schemas.openxmlformats.org/spreadsheetml/2006/main" id="29" name="tblDecorations30" displayName="tblDecorations30" ref="B15:D21" totalsRowCount="1" headerRowDxfId="56">
  <autoFilter ref="B15:D20"/>
  <tableColumns count="3">
    <tableColumn id="1" name="Decorations" totalsRowLabel="Total" totalsRowDxfId="55"/>
    <tableColumn id="2" name="Estimated" totalsRowFunction="sum" totalsRowDxfId="54"/>
    <tableColumn id="3" name="Actual" totalsRowFunction="sum" totalsRowDxfId="53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3.xml><?xml version="1.0" encoding="utf-8"?>
<table xmlns="http://schemas.openxmlformats.org/spreadsheetml/2006/main" id="2" name="tblRefreshments" displayName="tblRefreshments" ref="F7:H12" totalsRowCount="1" headerRowDxfId="199">
  <autoFilter ref="F7:H11"/>
  <tableColumns count="3">
    <tableColumn id="1" name="VIP Refreshments" totalsRowLabel="Total" totalsRowDxfId="198"/>
    <tableColumn id="2" name="Estimated" totalsRowFunction="sum" totalsRowDxfId="197"/>
    <tableColumn id="3" name="Actual" totalsRowFunction="sum" totalsRowDxfId="196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30.xml><?xml version="1.0" encoding="utf-8"?>
<table xmlns="http://schemas.openxmlformats.org/spreadsheetml/2006/main" id="30" name="tblPublicity31" displayName="tblPublicity31" ref="B24:D28" totalsRowCount="1" headerRowDxfId="52">
  <autoFilter ref="B24:D27"/>
  <tableColumns count="3">
    <tableColumn id="1" name="Publicity" totalsRowLabel="Total" totalsRowDxfId="51"/>
    <tableColumn id="2" name="Estimated" totalsRowFunction="sum" totalsRowDxfId="50"/>
    <tableColumn id="3" name="Actual" totalsRowFunction="sum" totalsRowDxfId="49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31.xml><?xml version="1.0" encoding="utf-8"?>
<table xmlns="http://schemas.openxmlformats.org/spreadsheetml/2006/main" id="31" name="tblPrizes32" displayName="tblPrizes32" ref="F24:H27" totalsRowCount="1" headerRowDxfId="48">
  <autoFilter ref="F24:H26"/>
  <tableColumns count="3">
    <tableColumn id="1" name="Prizes" totalsRowLabel="Total" totalsRowDxfId="47"/>
    <tableColumn id="2" name="Estimated" totalsRowFunction="sum" totalsRowDxfId="46"/>
    <tableColumn id="3" name="Actual" totalsRowFunction="sum" totalsRowDxfId="45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32.xml><?xml version="1.0" encoding="utf-8"?>
<table xmlns="http://schemas.openxmlformats.org/spreadsheetml/2006/main" id="32" name="tblMisc33" displayName="tblMisc33" ref="B31:D36" totalsRowCount="1" headerRowDxfId="44">
  <autoFilter ref="B31:D35"/>
  <tableColumns count="3">
    <tableColumn id="1" name="Miscellaneous" totalsRowLabel="Total" totalsRowDxfId="43"/>
    <tableColumn id="2" name="Estimated" totalsRowFunction="sum" totalsRowDxfId="42"/>
    <tableColumn id="3" name="Actual" totalsRowFunction="sum" totalsRowDxfId="41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33.xml><?xml version="1.0" encoding="utf-8"?>
<table xmlns="http://schemas.openxmlformats.org/spreadsheetml/2006/main" id="33" name="tblAdmissions34" displayName="tblAdmissions34" ref="B7:G11" totalsRowCount="1" headerRowDxfId="40">
  <autoFilter ref="B7:G10"/>
  <tableColumns count="6">
    <tableColumn id="1" name="Estimated" totalsRowLabel="Total" totalsRowDxfId="39"/>
    <tableColumn id="2" name="Actual" totalsRowDxfId="38"/>
    <tableColumn id="3" name=" " dataDxfId="36" totalsRowDxfId="37"/>
    <tableColumn id="4" name="  " dataDxfId="34" totalsRowDxfId="35"/>
    <tableColumn id="5" name="Estimated " totalsRowFunction="sum" dataDxfId="32" totalsRowDxfId="33">
      <calculatedColumnFormula>tblAdmissions34[[#This Row],[  ]]*tblAdmissions34[[#This Row],[Estimated]]</calculatedColumnFormula>
    </tableColumn>
    <tableColumn id="6" name="Actual " totalsRowFunction="sum" dataDxfId="30" totalsRowDxfId="31">
      <calculatedColumnFormula>tblAdmissions34[[#This Row],[  ]]*tblAdmissions34[[#This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ables/table34.xml><?xml version="1.0" encoding="utf-8"?>
<table xmlns="http://schemas.openxmlformats.org/spreadsheetml/2006/main" id="34" name="tblItems35" displayName="tblItems35" ref="B28:G33" totalsRowCount="1" headerRowDxfId="29">
  <autoFilter ref="B28:G32"/>
  <tableColumns count="6">
    <tableColumn id="1" name="Estimated" totalsRowLabel="Total" totalsRowDxfId="28"/>
    <tableColumn id="2" name="Actual" totalsRowDxfId="27"/>
    <tableColumn id="3" name=" " dataDxfId="25" totalsRowDxfId="26"/>
    <tableColumn id="4" name="  " totalsRowDxfId="24"/>
    <tableColumn id="5" name="Estimated " totalsRowFunction="sum" dataDxfId="22" totalsRowDxfId="23">
      <calculatedColumnFormula>tblItems35[[#This Row],[  ]]*tblItems35[[#This Row],[Estimated]]</calculatedColumnFormula>
    </tableColumn>
    <tableColumn id="6" name="Actual " totalsRowFunction="sum" dataDxfId="20" totalsRowDxfId="21">
      <calculatedColumnFormula>tblItems35[[#This Row],[  ]]*tblItems35[[#This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35.xml><?xml version="1.0" encoding="utf-8"?>
<table xmlns="http://schemas.openxmlformats.org/spreadsheetml/2006/main" id="35" name="tblVendors36" displayName="tblVendors36" ref="B21:G25" totalsRowCount="1" headerRowDxfId="19">
  <autoFilter ref="B21:G24"/>
  <tableColumns count="6">
    <tableColumn id="1" name="Estimated" totalsRowLabel="Total" totalsRowDxfId="18"/>
    <tableColumn id="2" name="Actual" totalsRowDxfId="17"/>
    <tableColumn id="3" name=" " dataDxfId="15" totalsRowDxfId="16"/>
    <tableColumn id="4" name="  " totalsRowDxfId="14"/>
    <tableColumn id="5" name="Estimated " totalsRowFunction="sum" dataDxfId="12" totalsRowDxfId="13">
      <calculatedColumnFormula>tblVendors36[[#This Row],[  ]]*tblVendors36[[#This Row],[Estimated]]</calculatedColumnFormula>
    </tableColumn>
    <tableColumn id="6" name="Actual " totalsRowFunction="sum" dataDxfId="10" totalsRowDxfId="11">
      <calculatedColumnFormula>tblVendors36[[#This Row],[  ]]*tblVendors36[[#This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36.xml><?xml version="1.0" encoding="utf-8"?>
<table xmlns="http://schemas.openxmlformats.org/spreadsheetml/2006/main" id="36" name="tblAds37" displayName="tblAds37" ref="B14:G18" totalsRowCount="1" headerRowDxfId="9">
  <autoFilter ref="B14:G17"/>
  <tableColumns count="6">
    <tableColumn id="1" name="Estimated" totalsRowLabel="Total" totalsRowDxfId="8"/>
    <tableColumn id="2" name="Actual" totalsRowDxfId="7"/>
    <tableColumn id="3" name=" " dataDxfId="5" totalsRowDxfId="6"/>
    <tableColumn id="4" name="  " totalsRowDxfId="4"/>
    <tableColumn id="5" name="Estimated " totalsRowFunction="sum" dataDxfId="2" totalsRowDxfId="3">
      <calculatedColumnFormula>tblAds37[[#This Row],[  ]]*tblAds37[[#This Row],[Estimated]]</calculatedColumnFormula>
    </tableColumn>
    <tableColumn id="6" name="Actual " totalsRowFunction="sum" dataDxfId="0" totalsRowDxfId="1">
      <calculatedColumnFormula>tblAds37[[#This Row],[  ]]*tblAds37[[#This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4.xml><?xml version="1.0" encoding="utf-8"?>
<table xmlns="http://schemas.openxmlformats.org/spreadsheetml/2006/main" id="3" name="tblPrograms" displayName="tblPrograms" ref="F15:H21" totalsRowCount="1" headerRowDxfId="195">
  <autoFilter ref="F15:H20"/>
  <tableColumns count="3">
    <tableColumn id="1" name="Program" totalsRowLabel="Total" totalsRowDxfId="194"/>
    <tableColumn id="2" name="Estimated" totalsRowFunction="sum" totalsRowDxfId="193"/>
    <tableColumn id="3" name="Actual" totalsRowFunction="sum" totalsRowDxfId="192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5.xml><?xml version="1.0" encoding="utf-8"?>
<table xmlns="http://schemas.openxmlformats.org/spreadsheetml/2006/main" id="4" name="tblDecorations" displayName="tblDecorations" ref="B15:D21" totalsRowCount="1" headerRowDxfId="191">
  <autoFilter ref="B15:D20"/>
  <tableColumns count="3">
    <tableColumn id="1" name="Decorations" totalsRowLabel="Total" totalsRowDxfId="190"/>
    <tableColumn id="2" name="Estimated" totalsRowFunction="sum" totalsRowDxfId="189"/>
    <tableColumn id="3" name="Actual" totalsRowFunction="sum" totalsRowDxfId="188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6.xml><?xml version="1.0" encoding="utf-8"?>
<table xmlns="http://schemas.openxmlformats.org/spreadsheetml/2006/main" id="5" name="tblPublicity" displayName="tblPublicity" ref="B24:D28" totalsRowCount="1" headerRowDxfId="187">
  <autoFilter ref="B24:D27"/>
  <tableColumns count="3">
    <tableColumn id="1" name="Publicity" totalsRowLabel="Total" totalsRowDxfId="186"/>
    <tableColumn id="2" name="Estimated" totalsRowFunction="sum" totalsRowDxfId="185"/>
    <tableColumn id="3" name="Actual" totalsRowFunction="sum" totalsRowDxfId="18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7.xml><?xml version="1.0" encoding="utf-8"?>
<table xmlns="http://schemas.openxmlformats.org/spreadsheetml/2006/main" id="6" name="tblPrizes" displayName="tblPrizes" ref="F24:H27" totalsRowCount="1" headerRowDxfId="183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8.xml><?xml version="1.0" encoding="utf-8"?>
<table xmlns="http://schemas.openxmlformats.org/spreadsheetml/2006/main" id="7" name="tblMisc" displayName="tblMisc" ref="B31:D36" totalsRowCount="1" headerRowDxfId="182">
  <autoFilter ref="B31:D35"/>
  <tableColumns count="3">
    <tableColumn id="1" name="Miscellaneou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9.xml><?xml version="1.0" encoding="utf-8"?>
<table xmlns="http://schemas.openxmlformats.org/spreadsheetml/2006/main" id="8" name="tblAdmissions" displayName="tblAdmissions" ref="B7:G11" totalsRowCount="1" headerRowDxfId="181">
  <autoFilter ref="B7:G10"/>
  <tableColumns count="6">
    <tableColumn id="1" name="Estimated" totalsRowLabel="Total" totalsRowDxfId="180"/>
    <tableColumn id="2" name="Actual" totalsRowDxfId="179"/>
    <tableColumn id="3" name=" " dataDxfId="178" totalsRowDxfId="177"/>
    <tableColumn id="4" name="  " dataDxfId="176" totalsRowDxfId="175"/>
    <tableColumn id="5" name="Estimated " totalsRowFunction="sum" dataDxfId="174" totalsRowDxfId="173">
      <calculatedColumnFormula>tblAdmissions[[#This Row],[  ]]*tblAdmissions[[#This Row],[Estimated]]</calculatedColumnFormula>
    </tableColumn>
    <tableColumn id="6" name="Actual " totalsRowFunction="sum" dataDxfId="172" totalsRowDxfId="171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2.xml"/><Relationship Id="rId3" Type="http://schemas.openxmlformats.org/officeDocument/2006/relationships/table" Target="../tables/table27.xml"/><Relationship Id="rId7" Type="http://schemas.openxmlformats.org/officeDocument/2006/relationships/table" Target="../tables/table31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2:F8"/>
  <sheetViews>
    <sheetView showGridLines="0" tabSelected="1" workbookViewId="0">
      <selection activeCell="H2" sqref="H2"/>
    </sheetView>
  </sheetViews>
  <sheetFormatPr defaultRowHeight="13.5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</cols>
  <sheetData>
    <row r="2" spans="2:6" ht="27.75" x14ac:dyDescent="0.4">
      <c r="B2" s="1" t="s">
        <v>57</v>
      </c>
      <c r="C2" s="1"/>
      <c r="D2" s="1"/>
      <c r="E2" s="1"/>
      <c r="F2" s="1"/>
    </row>
    <row r="3" spans="2:6" ht="18" x14ac:dyDescent="0.25">
      <c r="B3" s="2" t="s">
        <v>53</v>
      </c>
      <c r="C3" s="2"/>
      <c r="D3" s="2"/>
    </row>
    <row r="5" spans="2:6" ht="15" x14ac:dyDescent="0.25">
      <c r="B5" s="13" t="s">
        <v>49</v>
      </c>
      <c r="C5" s="13" t="s">
        <v>1</v>
      </c>
      <c r="D5" s="13" t="s">
        <v>2</v>
      </c>
    </row>
    <row r="6" spans="2:6" ht="36.75" customHeight="1" x14ac:dyDescent="0.25">
      <c r="B6" s="14" t="s">
        <v>54</v>
      </c>
      <c r="C6" s="15">
        <f>INCOME!F5</f>
        <v>2000</v>
      </c>
      <c r="D6" s="15">
        <f>INCOME!G5</f>
        <v>0</v>
      </c>
    </row>
    <row r="7" spans="2:6" ht="36.75" customHeight="1" x14ac:dyDescent="0.25">
      <c r="B7" s="14" t="s">
        <v>55</v>
      </c>
      <c r="C7" s="15">
        <f>EXPENSES!G5</f>
        <v>900</v>
      </c>
      <c r="D7" s="15">
        <f>EXPENSES!H5</f>
        <v>0</v>
      </c>
    </row>
    <row r="8" spans="2:6" ht="36.75" customHeight="1" x14ac:dyDescent="0.25">
      <c r="B8" s="14" t="s">
        <v>56</v>
      </c>
      <c r="C8" s="15">
        <f>C6-C7</f>
        <v>1100</v>
      </c>
      <c r="D8" s="15">
        <f>D6-D7</f>
        <v>0</v>
      </c>
    </row>
  </sheetData>
  <pageMargins left="0.4" right="0.4" top="0.4" bottom="0.4" header="0.3" footer="0.3"/>
  <pageSetup orientation="landscape" horizontalDpi="4294967293" verticalDpi="599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B2:H37"/>
  <sheetViews>
    <sheetView showGridLines="0" workbookViewId="0">
      <selection activeCell="G9" sqref="G9"/>
    </sheetView>
  </sheetViews>
  <sheetFormatPr defaultRowHeight="13.5" x14ac:dyDescent="0.2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2" spans="2:8" ht="27.75" x14ac:dyDescent="0.4">
      <c r="B2" s="24" t="str">
        <f>'DASHBOARD (3)'!B2</f>
        <v>Kappa Derby: April 14, 2018</v>
      </c>
      <c r="C2" s="1"/>
      <c r="D2" s="1"/>
      <c r="E2" s="1"/>
      <c r="F2" s="20"/>
      <c r="G2" s="1"/>
      <c r="H2" s="1"/>
    </row>
    <row r="3" spans="2:8" ht="18" x14ac:dyDescent="0.25">
      <c r="B3" s="2" t="s">
        <v>0</v>
      </c>
      <c r="C3" s="2"/>
      <c r="D3" s="2"/>
      <c r="E3" s="2"/>
      <c r="F3" s="2"/>
      <c r="G3" s="2"/>
      <c r="H3" s="2"/>
    </row>
    <row r="4" spans="2:8" ht="15.75" x14ac:dyDescent="0.25">
      <c r="F4" s="3" t="s">
        <v>55</v>
      </c>
      <c r="G4" s="17" t="s">
        <v>1</v>
      </c>
      <c r="H4" s="17" t="s">
        <v>2</v>
      </c>
    </row>
    <row r="5" spans="2:8" ht="15.75" x14ac:dyDescent="0.25">
      <c r="G5" s="18">
        <f>SUBTOTAL(109,tblSite27[Estimated],tblRefreshments28[Estimated],tblPrograms29[Estimated],tblDecorations30[Estimated],tblPrizes32[Estimated],tblPublicity31[Estimated],tblMisc33[Estimated])</f>
        <v>3560</v>
      </c>
      <c r="H5" s="18">
        <f>SUBTOTAL(109,tblSite27[Actual],tblRefreshments28[Actual],tblPrograms29[Actual],tblDecorations30[Actual],tblPrizes32[Actual],tblPublicity31[Actual],tblMisc33[Actual])</f>
        <v>0</v>
      </c>
    </row>
    <row r="7" spans="2:8" x14ac:dyDescent="0.25">
      <c r="B7" s="7" t="s">
        <v>3</v>
      </c>
      <c r="C7" s="7" t="s">
        <v>1</v>
      </c>
      <c r="D7" s="7" t="s">
        <v>2</v>
      </c>
      <c r="F7" s="7" t="s">
        <v>58</v>
      </c>
      <c r="G7" s="7" t="s">
        <v>1</v>
      </c>
      <c r="H7" s="7" t="s">
        <v>2</v>
      </c>
    </row>
    <row r="8" spans="2:8" x14ac:dyDescent="0.25">
      <c r="B8" s="5" t="s">
        <v>4</v>
      </c>
      <c r="C8" s="23">
        <v>1000</v>
      </c>
      <c r="D8" s="6"/>
      <c r="F8" s="5" t="s">
        <v>5</v>
      </c>
      <c r="G8" s="6">
        <v>200</v>
      </c>
      <c r="H8" s="6"/>
    </row>
    <row r="9" spans="2:8" x14ac:dyDescent="0.25">
      <c r="B9" s="5" t="s">
        <v>6</v>
      </c>
      <c r="C9" s="6"/>
      <c r="D9" s="6"/>
      <c r="F9" s="5" t="s">
        <v>77</v>
      </c>
      <c r="G9" s="6"/>
      <c r="H9" s="6"/>
    </row>
    <row r="10" spans="2:8" x14ac:dyDescent="0.25">
      <c r="B10" s="5" t="s">
        <v>8</v>
      </c>
      <c r="C10" s="6"/>
      <c r="D10" s="6"/>
      <c r="F10" s="5" t="s">
        <v>9</v>
      </c>
      <c r="G10" s="6"/>
      <c r="H10" s="6"/>
    </row>
    <row r="11" spans="2:8" x14ac:dyDescent="0.25">
      <c r="B11" s="5" t="s">
        <v>10</v>
      </c>
      <c r="C11" s="6"/>
      <c r="D11" s="6"/>
      <c r="F11" s="5" t="s">
        <v>11</v>
      </c>
      <c r="G11" s="6"/>
      <c r="H11" s="6"/>
    </row>
    <row r="12" spans="2:8" x14ac:dyDescent="0.25">
      <c r="B12" s="5" t="s">
        <v>48</v>
      </c>
      <c r="C12" s="6">
        <f>SUBTOTAL(109,tblSite27[Estimated])</f>
        <v>1000</v>
      </c>
      <c r="D12" s="6">
        <f>SUBTOTAL(109,tblSite27[Actual])</f>
        <v>0</v>
      </c>
      <c r="F12" s="5" t="s">
        <v>48</v>
      </c>
      <c r="G12" s="6">
        <f>SUBTOTAL(109,tblRefreshments28[Estimated])</f>
        <v>200</v>
      </c>
      <c r="H12" s="6">
        <f>SUBTOTAL(109,tblRefreshments28[Actual])</f>
        <v>0</v>
      </c>
    </row>
    <row r="13" spans="2:8" x14ac:dyDescent="0.25">
      <c r="B13" s="21"/>
      <c r="C13" s="21"/>
      <c r="D13" s="21"/>
      <c r="F13" s="21"/>
      <c r="G13" s="21"/>
      <c r="H13" s="21"/>
    </row>
    <row r="15" spans="2:8" x14ac:dyDescent="0.25">
      <c r="B15" s="7" t="s">
        <v>12</v>
      </c>
      <c r="C15" s="7" t="s">
        <v>1</v>
      </c>
      <c r="D15" s="7" t="s">
        <v>2</v>
      </c>
      <c r="F15" s="7" t="s">
        <v>13</v>
      </c>
      <c r="G15" s="7" t="s">
        <v>1</v>
      </c>
      <c r="H15" s="7" t="s">
        <v>2</v>
      </c>
    </row>
    <row r="16" spans="2:8" x14ac:dyDescent="0.25">
      <c r="B16" s="5" t="s">
        <v>68</v>
      </c>
      <c r="C16" s="6">
        <v>160</v>
      </c>
      <c r="D16" s="6"/>
      <c r="F16" s="5" t="s">
        <v>76</v>
      </c>
      <c r="G16" s="6">
        <v>400</v>
      </c>
      <c r="H16" s="6"/>
    </row>
    <row r="17" spans="2:8" x14ac:dyDescent="0.25">
      <c r="B17" s="5" t="s">
        <v>67</v>
      </c>
      <c r="C17" s="6"/>
      <c r="D17" s="6"/>
      <c r="F17" s="5" t="s">
        <v>75</v>
      </c>
      <c r="G17" s="25" t="s">
        <v>74</v>
      </c>
      <c r="H17" s="6"/>
    </row>
    <row r="18" spans="2:8" x14ac:dyDescent="0.25">
      <c r="B18" s="5" t="s">
        <v>17</v>
      </c>
      <c r="C18" s="6"/>
      <c r="D18" s="6"/>
      <c r="F18" s="5" t="s">
        <v>18</v>
      </c>
      <c r="G18" s="6"/>
      <c r="H18" s="6"/>
    </row>
    <row r="19" spans="2:8" x14ac:dyDescent="0.25">
      <c r="B19" s="5" t="s">
        <v>19</v>
      </c>
      <c r="C19" s="6"/>
      <c r="D19" s="6"/>
      <c r="F19" s="5" t="s">
        <v>20</v>
      </c>
      <c r="G19" s="6"/>
      <c r="H19" s="6"/>
    </row>
    <row r="20" spans="2:8" x14ac:dyDescent="0.25">
      <c r="B20" s="5" t="s">
        <v>21</v>
      </c>
      <c r="C20" s="6"/>
      <c r="D20" s="6"/>
      <c r="F20" s="5" t="s">
        <v>22</v>
      </c>
      <c r="G20" s="6"/>
      <c r="H20" s="6"/>
    </row>
    <row r="21" spans="2:8" x14ac:dyDescent="0.25">
      <c r="B21" s="5" t="s">
        <v>48</v>
      </c>
      <c r="C21" s="6">
        <f>SUBTOTAL(109,tblDecorations30[Estimated])</f>
        <v>160</v>
      </c>
      <c r="D21" s="6">
        <f>SUBTOTAL(109,tblDecorations30[Actual])</f>
        <v>0</v>
      </c>
      <c r="F21" s="5" t="s">
        <v>48</v>
      </c>
      <c r="G21" s="6">
        <f>SUBTOTAL(109,tblPrograms29[Estimated])</f>
        <v>400</v>
      </c>
      <c r="H21" s="6">
        <f>SUBTOTAL(109,tblPrograms29[Actual])</f>
        <v>0</v>
      </c>
    </row>
    <row r="22" spans="2:8" x14ac:dyDescent="0.25">
      <c r="B22" s="21"/>
      <c r="C22" s="21"/>
      <c r="D22" s="21"/>
      <c r="F22" s="21"/>
      <c r="G22" s="21"/>
      <c r="H22" s="21"/>
    </row>
    <row r="24" spans="2:8" x14ac:dyDescent="0.25">
      <c r="B24" s="7" t="s">
        <v>23</v>
      </c>
      <c r="C24" s="7" t="s">
        <v>1</v>
      </c>
      <c r="D24" s="7" t="s">
        <v>2</v>
      </c>
      <c r="F24" s="7" t="s">
        <v>24</v>
      </c>
      <c r="G24" s="7" t="s">
        <v>1</v>
      </c>
      <c r="H24" s="7" t="s">
        <v>2</v>
      </c>
    </row>
    <row r="25" spans="2:8" x14ac:dyDescent="0.25">
      <c r="B25" s="5" t="s">
        <v>25</v>
      </c>
      <c r="C25" s="6">
        <v>100</v>
      </c>
      <c r="D25" s="6"/>
      <c r="F25" s="5" t="s">
        <v>73</v>
      </c>
      <c r="G25" s="6">
        <v>150</v>
      </c>
      <c r="H25" s="6"/>
    </row>
    <row r="26" spans="2:8" x14ac:dyDescent="0.25">
      <c r="B26" s="5" t="s">
        <v>61</v>
      </c>
      <c r="C26" s="6">
        <v>500</v>
      </c>
      <c r="D26" s="6"/>
      <c r="F26" s="5" t="s">
        <v>72</v>
      </c>
      <c r="G26" s="6">
        <v>750</v>
      </c>
      <c r="H26" s="6"/>
    </row>
    <row r="27" spans="2:8" x14ac:dyDescent="0.25">
      <c r="B27" s="5" t="s">
        <v>71</v>
      </c>
      <c r="C27" s="6">
        <v>200</v>
      </c>
      <c r="D27" s="6"/>
      <c r="F27" s="5" t="s">
        <v>48</v>
      </c>
      <c r="G27" s="6">
        <f>SUBTOTAL(109,tblPrizes32[Estimated])</f>
        <v>900</v>
      </c>
      <c r="H27" s="6">
        <f>SUBTOTAL(109,tblPrizes32[Actual])</f>
        <v>0</v>
      </c>
    </row>
    <row r="28" spans="2:8" x14ac:dyDescent="0.25">
      <c r="B28" s="5" t="s">
        <v>48</v>
      </c>
      <c r="C28" s="6">
        <f>SUBTOTAL(109,tblPublicity31[Estimated])</f>
        <v>800</v>
      </c>
      <c r="D28" s="6">
        <f>SUBTOTAL(109,tblPublicity31[Actual])</f>
        <v>0</v>
      </c>
      <c r="F28" s="21"/>
      <c r="G28" s="21"/>
      <c r="H28" s="21"/>
    </row>
    <row r="29" spans="2:8" x14ac:dyDescent="0.25">
      <c r="B29" s="21"/>
      <c r="C29" s="21"/>
      <c r="D29" s="21"/>
    </row>
    <row r="31" spans="2:8" x14ac:dyDescent="0.25">
      <c r="B31" s="7" t="s">
        <v>29</v>
      </c>
      <c r="C31" s="7" t="s">
        <v>1</v>
      </c>
      <c r="D31" s="7" t="s">
        <v>2</v>
      </c>
    </row>
    <row r="32" spans="2:8" x14ac:dyDescent="0.25">
      <c r="B32" s="5" t="s">
        <v>65</v>
      </c>
      <c r="C32" s="6">
        <v>100</v>
      </c>
      <c r="D32" s="6"/>
    </row>
    <row r="33" spans="2:4" x14ac:dyDescent="0.25">
      <c r="B33" s="5" t="s">
        <v>31</v>
      </c>
      <c r="C33" s="6"/>
      <c r="D33" s="6"/>
    </row>
    <row r="34" spans="2:4" x14ac:dyDescent="0.25">
      <c r="B34" s="5" t="s">
        <v>32</v>
      </c>
      <c r="C34" s="6"/>
      <c r="D34" s="6"/>
    </row>
    <row r="35" spans="2:4" x14ac:dyDescent="0.25">
      <c r="B35" s="5" t="s">
        <v>33</v>
      </c>
      <c r="C35" s="6"/>
      <c r="D35" s="6"/>
    </row>
    <row r="36" spans="2:4" x14ac:dyDescent="0.25">
      <c r="B36" s="5" t="s">
        <v>48</v>
      </c>
      <c r="C36" s="6">
        <f>SUBTOTAL(109,tblMisc33[Estimated])</f>
        <v>100</v>
      </c>
      <c r="D36" s="6">
        <f>SUBTOTAL(109,tblMisc33[Actual])</f>
        <v>0</v>
      </c>
    </row>
    <row r="37" spans="2:4" x14ac:dyDescent="0.25">
      <c r="B37" s="21"/>
      <c r="C37" s="21"/>
      <c r="D37" s="21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B2:G33"/>
  <sheetViews>
    <sheetView showGridLines="0" workbookViewId="0"/>
  </sheetViews>
  <sheetFormatPr defaultRowHeight="13.5" x14ac:dyDescent="0.2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7.75" x14ac:dyDescent="0.4">
      <c r="B2" s="1" t="str">
        <f>'DASHBOARD (3)'!B2</f>
        <v>Kappa Derby: April 14, 2018</v>
      </c>
      <c r="C2" s="1"/>
      <c r="D2" s="8"/>
      <c r="E2" s="1"/>
      <c r="F2" s="1"/>
      <c r="G2" s="1"/>
    </row>
    <row r="3" spans="2:7" ht="18" x14ac:dyDescent="0.25">
      <c r="B3" s="2" t="s">
        <v>34</v>
      </c>
      <c r="C3" s="2"/>
      <c r="D3" s="9"/>
      <c r="E3" s="2"/>
      <c r="F3" s="2"/>
      <c r="G3" s="2"/>
    </row>
    <row r="4" spans="2:7" ht="15.75" x14ac:dyDescent="0.25">
      <c r="E4" s="3" t="s">
        <v>54</v>
      </c>
      <c r="F4" s="17" t="s">
        <v>1</v>
      </c>
      <c r="G4" s="17" t="s">
        <v>2</v>
      </c>
    </row>
    <row r="5" spans="2:7" ht="15.75" x14ac:dyDescent="0.25">
      <c r="F5" s="18">
        <f>SUBTOTAL(109,tblAdmissions34[[Estimated ]],tblAds37[[Estimated ]],tblVendors36[[Estimated ]],tblItems35[[Estimated ]])</f>
        <v>9400</v>
      </c>
      <c r="G5" s="18">
        <f>SUBTOTAL(109,tblAdmissions34[[Actual ]],tblAds37[[Actual ]],tblVendors36[[Actual ]],tblItems35[[Actual ]])</f>
        <v>0</v>
      </c>
    </row>
    <row r="6" spans="2:7" ht="15.75" x14ac:dyDescent="0.25">
      <c r="B6" s="4" t="s">
        <v>35</v>
      </c>
    </row>
    <row r="7" spans="2:7" x14ac:dyDescent="0.25">
      <c r="B7" s="7" t="s">
        <v>1</v>
      </c>
      <c r="C7" s="7" t="s">
        <v>2</v>
      </c>
      <c r="D7" s="11" t="s">
        <v>49</v>
      </c>
      <c r="E7" s="7" t="s">
        <v>50</v>
      </c>
      <c r="F7" s="7" t="s">
        <v>51</v>
      </c>
      <c r="G7" s="7" t="s">
        <v>52</v>
      </c>
    </row>
    <row r="8" spans="2:7" x14ac:dyDescent="0.25">
      <c r="B8" s="5">
        <v>250</v>
      </c>
      <c r="C8" s="5"/>
      <c r="D8" s="12" t="s">
        <v>36</v>
      </c>
      <c r="E8" s="6">
        <v>20</v>
      </c>
      <c r="F8" s="16">
        <f>tblAdmissions34[[#This Row],[  ]]*tblAdmissions34[[#This Row],[Estimated]]</f>
        <v>5000</v>
      </c>
      <c r="G8" s="16">
        <f>tblAdmissions34[[#This Row],[  ]]*tblAdmissions34[[#This Row],[Actual]]</f>
        <v>0</v>
      </c>
    </row>
    <row r="9" spans="2:7" x14ac:dyDescent="0.25">
      <c r="B9" s="5">
        <v>40</v>
      </c>
      <c r="C9" s="5"/>
      <c r="D9" s="12" t="s">
        <v>82</v>
      </c>
      <c r="E9" s="6">
        <v>30</v>
      </c>
      <c r="F9" s="16">
        <f>tblAdmissions34[[#This Row],[  ]]*tblAdmissions34[[#This Row],[Estimated]]</f>
        <v>1200</v>
      </c>
      <c r="G9" s="16">
        <f>tblAdmissions34[[#This Row],[  ]]*tblAdmissions34[[#This Row],[Actual]]</f>
        <v>0</v>
      </c>
    </row>
    <row r="10" spans="2:7" x14ac:dyDescent="0.25">
      <c r="B10" s="5">
        <v>8</v>
      </c>
      <c r="C10" s="5"/>
      <c r="D10" s="12" t="s">
        <v>81</v>
      </c>
      <c r="E10" s="6">
        <v>100</v>
      </c>
      <c r="F10" s="16">
        <f>tblAdmissions34[[#This Row],[  ]]*tblAdmissions34[[#This Row],[Estimated]]</f>
        <v>800</v>
      </c>
      <c r="G10" s="16">
        <f>tblAdmissions34[[#This Row],[  ]]*tblAdmissions34[[#This Row],[Actual]]</f>
        <v>0</v>
      </c>
    </row>
    <row r="11" spans="2:7" x14ac:dyDescent="0.25">
      <c r="B11" s="5" t="s">
        <v>48</v>
      </c>
      <c r="C11" s="5"/>
      <c r="D11" s="12"/>
      <c r="E11" s="6"/>
      <c r="F11" s="16">
        <f>SUBTOTAL(109,tblAdmissions34[[Estimated ]])</f>
        <v>7000</v>
      </c>
      <c r="G11" s="16">
        <f>SUBTOTAL(109,tblAdmissions34[[Actual ]])</f>
        <v>0</v>
      </c>
    </row>
    <row r="12" spans="2:7" x14ac:dyDescent="0.25">
      <c r="C12">
        <v>0</v>
      </c>
    </row>
    <row r="13" spans="2:7" ht="15.75" x14ac:dyDescent="0.25">
      <c r="B13" s="4" t="s">
        <v>80</v>
      </c>
    </row>
    <row r="14" spans="2:7" x14ac:dyDescent="0.25">
      <c r="B14" s="7" t="s">
        <v>1</v>
      </c>
      <c r="C14" s="7" t="s">
        <v>2</v>
      </c>
      <c r="D14" s="11" t="s">
        <v>49</v>
      </c>
      <c r="E14" s="7" t="s">
        <v>50</v>
      </c>
      <c r="F14" s="7" t="s">
        <v>51</v>
      </c>
      <c r="G14" s="7" t="s">
        <v>52</v>
      </c>
    </row>
    <row r="15" spans="2:7" x14ac:dyDescent="0.25">
      <c r="B15" s="5">
        <v>50</v>
      </c>
      <c r="C15" s="5"/>
      <c r="D15" s="12" t="s">
        <v>79</v>
      </c>
      <c r="E15" s="6">
        <v>25</v>
      </c>
      <c r="F15" s="16">
        <f>tblAds37[[#This Row],[  ]]*tblAds37[[#This Row],[Estimated]]</f>
        <v>1250</v>
      </c>
      <c r="G15" s="16">
        <f>tblAds37[[#This Row],[  ]]*tblAds37[[#This Row],[Actual]]</f>
        <v>0</v>
      </c>
    </row>
    <row r="16" spans="2:7" x14ac:dyDescent="0.25">
      <c r="B16" s="5">
        <v>10</v>
      </c>
      <c r="C16" s="5"/>
      <c r="D16" s="12" t="s">
        <v>78</v>
      </c>
      <c r="E16" s="6">
        <v>100</v>
      </c>
      <c r="F16" s="16">
        <f>tblAds37[[#This Row],[  ]]*tblAds37[[#This Row],[Estimated]]</f>
        <v>1000</v>
      </c>
      <c r="G16" s="16">
        <f>tblAds37[[#This Row],[  ]]*tblAds37[[#This Row],[Actual]]</f>
        <v>0</v>
      </c>
    </row>
    <row r="17" spans="2:7" x14ac:dyDescent="0.25">
      <c r="B17" s="5"/>
      <c r="C17" s="5"/>
      <c r="D17" s="12"/>
      <c r="E17" s="5"/>
      <c r="F17" s="16">
        <f>tblAds37[[#This Row],[  ]]*tblAds37[[#This Row],[Estimated]]</f>
        <v>0</v>
      </c>
      <c r="G17" s="16">
        <f>tblAds37[[#This Row],[  ]]*tblAds37[[#This Row],[Actual]]</f>
        <v>0</v>
      </c>
    </row>
    <row r="18" spans="2:7" x14ac:dyDescent="0.25">
      <c r="B18" s="5" t="s">
        <v>48</v>
      </c>
      <c r="C18" s="5"/>
      <c r="D18" s="12"/>
      <c r="E18" s="5"/>
      <c r="F18" s="16">
        <f>SUBTOTAL(109,tblAds37[[Estimated ]])</f>
        <v>2250</v>
      </c>
      <c r="G18" s="16">
        <f>SUBTOTAL(109,tblAds37[[Actual ]])</f>
        <v>0</v>
      </c>
    </row>
    <row r="20" spans="2:7" ht="15.75" x14ac:dyDescent="0.25">
      <c r="B20" s="4" t="s">
        <v>42</v>
      </c>
    </row>
    <row r="21" spans="2:7" x14ac:dyDescent="0.25">
      <c r="B21" s="7" t="s">
        <v>1</v>
      </c>
      <c r="C21" s="7" t="s">
        <v>2</v>
      </c>
      <c r="D21" s="11" t="s">
        <v>49</v>
      </c>
      <c r="E21" s="7" t="s">
        <v>50</v>
      </c>
      <c r="F21" s="7" t="s">
        <v>51</v>
      </c>
      <c r="G21" s="7" t="s">
        <v>52</v>
      </c>
    </row>
    <row r="22" spans="2:7" x14ac:dyDescent="0.25">
      <c r="B22" s="5">
        <v>2</v>
      </c>
      <c r="C22" s="5"/>
      <c r="D22" s="12" t="s">
        <v>43</v>
      </c>
      <c r="E22" s="6">
        <v>75</v>
      </c>
      <c r="F22" s="16">
        <f>tblVendors36[[#This Row],[  ]]*tblVendors36[[#This Row],[Estimated]]</f>
        <v>150</v>
      </c>
      <c r="G22" s="16">
        <f>tblVendors36[[#This Row],[  ]]*tblVendors36[[#This Row],[Actual]]</f>
        <v>0</v>
      </c>
    </row>
    <row r="23" spans="2:7" x14ac:dyDescent="0.25">
      <c r="B23" s="5"/>
      <c r="C23" s="5"/>
      <c r="D23" s="12" t="s">
        <v>44</v>
      </c>
      <c r="E23" s="5"/>
      <c r="F23" s="16">
        <f>tblVendors36[[#This Row],[  ]]*tblVendors36[[#This Row],[Estimated]]</f>
        <v>0</v>
      </c>
      <c r="G23" s="16">
        <f>tblVendors36[[#This Row],[  ]]*tblVendors36[[#This Row],[Actual]]</f>
        <v>0</v>
      </c>
    </row>
    <row r="24" spans="2:7" x14ac:dyDescent="0.25">
      <c r="B24" s="5"/>
      <c r="C24" s="5"/>
      <c r="D24" s="12" t="s">
        <v>45</v>
      </c>
      <c r="E24" s="5"/>
      <c r="F24" s="16">
        <f>tblVendors36[[#This Row],[  ]]*tblVendors36[[#This Row],[Estimated]]</f>
        <v>0</v>
      </c>
      <c r="G24" s="16">
        <f>tblVendors36[[#This Row],[  ]]*tblVendors36[[#This Row],[Actual]]</f>
        <v>0</v>
      </c>
    </row>
    <row r="25" spans="2:7" x14ac:dyDescent="0.25">
      <c r="B25" s="5" t="s">
        <v>48</v>
      </c>
      <c r="C25" s="5"/>
      <c r="D25" s="12"/>
      <c r="E25" s="5"/>
      <c r="F25" s="16">
        <f>SUBTOTAL(109,tblVendors36[[Estimated ]])</f>
        <v>150</v>
      </c>
      <c r="G25" s="16">
        <f>SUBTOTAL(109,tblVendors36[[Actual ]])</f>
        <v>0</v>
      </c>
    </row>
    <row r="27" spans="2:7" ht="15.75" x14ac:dyDescent="0.25">
      <c r="B27" s="4" t="s">
        <v>46</v>
      </c>
    </row>
    <row r="28" spans="2:7" x14ac:dyDescent="0.25">
      <c r="B28" s="7" t="s">
        <v>1</v>
      </c>
      <c r="C28" s="7" t="s">
        <v>2</v>
      </c>
      <c r="D28" s="11" t="s">
        <v>49</v>
      </c>
      <c r="E28" s="7" t="s">
        <v>50</v>
      </c>
      <c r="F28" s="7" t="s">
        <v>51</v>
      </c>
      <c r="G28" s="7" t="s">
        <v>52</v>
      </c>
    </row>
    <row r="29" spans="2:7" x14ac:dyDescent="0.25">
      <c r="B29" s="5"/>
      <c r="C29" s="5"/>
      <c r="D29" s="12" t="s">
        <v>47</v>
      </c>
      <c r="E29" s="5"/>
      <c r="F29" s="16">
        <f>tblItems35[[#This Row],[  ]]*tblItems35[[#This Row],[Estimated]]</f>
        <v>0</v>
      </c>
      <c r="G29" s="16">
        <f>tblItems35[[#This Row],[  ]]*tblItems35[[#This Row],[Actual]]</f>
        <v>0</v>
      </c>
    </row>
    <row r="30" spans="2:7" x14ac:dyDescent="0.25">
      <c r="B30" s="5"/>
      <c r="C30" s="5"/>
      <c r="D30" s="12" t="s">
        <v>47</v>
      </c>
      <c r="E30" s="5"/>
      <c r="F30" s="16">
        <f>tblItems35[[#This Row],[  ]]*tblItems35[[#This Row],[Estimated]]</f>
        <v>0</v>
      </c>
      <c r="G30" s="16">
        <f>tblItems35[[#This Row],[  ]]*tblItems35[[#This Row],[Actual]]</f>
        <v>0</v>
      </c>
    </row>
    <row r="31" spans="2:7" x14ac:dyDescent="0.25">
      <c r="B31" s="5"/>
      <c r="C31" s="5"/>
      <c r="D31" s="12" t="s">
        <v>47</v>
      </c>
      <c r="E31" s="5"/>
      <c r="F31" s="16">
        <f>tblItems35[[#This Row],[  ]]*tblItems35[[#This Row],[Estimated]]</f>
        <v>0</v>
      </c>
      <c r="G31" s="16">
        <f>tblItems35[[#This Row],[  ]]*tblItems35[[#This Row],[Actual]]</f>
        <v>0</v>
      </c>
    </row>
    <row r="32" spans="2:7" x14ac:dyDescent="0.25">
      <c r="B32" s="5"/>
      <c r="C32" s="5"/>
      <c r="D32" s="12" t="s">
        <v>47</v>
      </c>
      <c r="E32" s="5"/>
      <c r="F32" s="16">
        <f>tblItems35[[#This Row],[  ]]*tblItems35[[#This Row],[Estimated]]</f>
        <v>0</v>
      </c>
      <c r="G32" s="16">
        <f>tblItems35[[#This Row],[  ]]*tblItems35[[#This Row],[Actual]]</f>
        <v>0</v>
      </c>
    </row>
    <row r="33" spans="2:7" x14ac:dyDescent="0.25">
      <c r="B33" s="5" t="s">
        <v>48</v>
      </c>
      <c r="C33" s="5"/>
      <c r="D33" s="12"/>
      <c r="E33" s="5"/>
      <c r="F33" s="16">
        <f>SUBTOTAL(109,tblItems35[[Estimated ]])</f>
        <v>0</v>
      </c>
      <c r="G33" s="16">
        <f>SUBTOTAL(109,tblItems35[[Actual ]])</f>
        <v>0</v>
      </c>
    </row>
  </sheetData>
  <pageMargins left="0.4" right="0.4" top="0.4" bottom="0.4" header="0.3" footer="0.3"/>
  <pageSetup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B2:H37"/>
  <sheetViews>
    <sheetView showGridLines="0" workbookViewId="0">
      <selection activeCell="K1" sqref="K1"/>
    </sheetView>
  </sheetViews>
  <sheetFormatPr defaultRowHeight="13.5" x14ac:dyDescent="0.2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2" spans="2:8" ht="27.75" x14ac:dyDescent="0.4">
      <c r="B2" s="1" t="str">
        <f>DASHBOARD!B2</f>
        <v>Event Budget for Fade to Black</v>
      </c>
      <c r="C2" s="1"/>
      <c r="D2" s="1"/>
      <c r="E2" s="1"/>
      <c r="F2" s="20" t="s">
        <v>62</v>
      </c>
      <c r="G2" s="1"/>
      <c r="H2" s="1"/>
    </row>
    <row r="3" spans="2:8" ht="18" x14ac:dyDescent="0.25">
      <c r="B3" s="2" t="s">
        <v>0</v>
      </c>
      <c r="C3" s="2"/>
      <c r="D3" s="2"/>
      <c r="E3" s="2"/>
      <c r="F3" s="2"/>
      <c r="G3" s="2"/>
      <c r="H3" s="2"/>
    </row>
    <row r="4" spans="2:8" ht="15.75" x14ac:dyDescent="0.25">
      <c r="F4" s="3" t="s">
        <v>55</v>
      </c>
      <c r="G4" s="17" t="s">
        <v>1</v>
      </c>
      <c r="H4" s="17" t="s">
        <v>2</v>
      </c>
    </row>
    <row r="5" spans="2:8" ht="15.75" x14ac:dyDescent="0.25">
      <c r="G5" s="18">
        <f>SUBTOTAL(109,tblSite[Estimated],tblRefreshments[Estimated],tblPrograms[Estimated],tblDecorations[Estimated],tblPrizes[Estimated],tblPublicity[Estimated],tblMisc[Estimated])</f>
        <v>900</v>
      </c>
      <c r="H5" s="18">
        <f>SUBTOTAL(109,tblSite[Actual],tblRefreshments[Actual],tblPrograms[Actual],tblDecorations[Actual],tblPrizes[Actual],tblPublicity[Actual],tblMisc[Actual])</f>
        <v>0</v>
      </c>
    </row>
    <row r="7" spans="2:8" x14ac:dyDescent="0.25">
      <c r="B7" s="7" t="s">
        <v>3</v>
      </c>
      <c r="C7" s="7" t="s">
        <v>1</v>
      </c>
      <c r="D7" s="7" t="s">
        <v>2</v>
      </c>
      <c r="F7" s="7" t="s">
        <v>58</v>
      </c>
      <c r="G7" s="7" t="s">
        <v>1</v>
      </c>
      <c r="H7" s="7" t="s">
        <v>2</v>
      </c>
    </row>
    <row r="8" spans="2:8" x14ac:dyDescent="0.25">
      <c r="B8" s="5" t="s">
        <v>4</v>
      </c>
      <c r="C8" s="19" t="s">
        <v>60</v>
      </c>
      <c r="D8" s="6"/>
      <c r="F8" s="5" t="s">
        <v>5</v>
      </c>
      <c r="G8" s="6">
        <v>150</v>
      </c>
      <c r="H8" s="6"/>
    </row>
    <row r="9" spans="2:8" x14ac:dyDescent="0.25">
      <c r="B9" s="5" t="s">
        <v>6</v>
      </c>
      <c r="C9" s="6"/>
      <c r="D9" s="6"/>
      <c r="F9" s="5" t="s">
        <v>7</v>
      </c>
      <c r="G9" s="6"/>
      <c r="H9" s="6"/>
    </row>
    <row r="10" spans="2:8" x14ac:dyDescent="0.25">
      <c r="B10" s="5" t="s">
        <v>8</v>
      </c>
      <c r="C10" s="6"/>
      <c r="D10" s="6"/>
      <c r="F10" s="5" t="s">
        <v>9</v>
      </c>
      <c r="G10" s="6"/>
      <c r="H10" s="6"/>
    </row>
    <row r="11" spans="2:8" x14ac:dyDescent="0.25">
      <c r="B11" s="5" t="s">
        <v>10</v>
      </c>
      <c r="C11" s="6"/>
      <c r="D11" s="6"/>
      <c r="F11" s="5" t="s">
        <v>11</v>
      </c>
      <c r="G11" s="6"/>
      <c r="H11" s="6"/>
    </row>
    <row r="12" spans="2:8" x14ac:dyDescent="0.25">
      <c r="B12" s="5" t="s">
        <v>48</v>
      </c>
      <c r="C12" s="6">
        <f>SUBTOTAL(109,tblSite[Estimated])</f>
        <v>0</v>
      </c>
      <c r="D12" s="6">
        <f>SUBTOTAL(109,tblSite[Actual])</f>
        <v>0</v>
      </c>
      <c r="F12" s="5" t="s">
        <v>48</v>
      </c>
      <c r="G12" s="6">
        <f>SUBTOTAL(109,tblRefreshments[Estimated])</f>
        <v>150</v>
      </c>
      <c r="H12" s="6">
        <f>SUBTOTAL(109,tblRefreshments[Actual])</f>
        <v>0</v>
      </c>
    </row>
    <row r="13" spans="2:8" x14ac:dyDescent="0.25">
      <c r="B13" s="21"/>
      <c r="C13" s="21"/>
      <c r="D13" s="21"/>
      <c r="F13" s="21"/>
      <c r="G13" s="21"/>
      <c r="H13" s="21"/>
    </row>
    <row r="15" spans="2:8" x14ac:dyDescent="0.25">
      <c r="B15" s="7" t="s">
        <v>12</v>
      </c>
      <c r="C15" s="7" t="s">
        <v>1</v>
      </c>
      <c r="D15" s="7" t="s">
        <v>2</v>
      </c>
      <c r="F15" s="7" t="s">
        <v>13</v>
      </c>
      <c r="G15" s="7" t="s">
        <v>1</v>
      </c>
      <c r="H15" s="7" t="s">
        <v>2</v>
      </c>
    </row>
    <row r="16" spans="2:8" x14ac:dyDescent="0.25">
      <c r="B16" s="5" t="s">
        <v>14</v>
      </c>
      <c r="C16" s="6"/>
      <c r="D16" s="6"/>
      <c r="F16" s="5" t="s">
        <v>59</v>
      </c>
      <c r="G16" s="6">
        <v>350</v>
      </c>
      <c r="H16" s="6"/>
    </row>
    <row r="17" spans="2:8" x14ac:dyDescent="0.25">
      <c r="B17" s="5" t="s">
        <v>15</v>
      </c>
      <c r="C17" s="6"/>
      <c r="D17" s="6"/>
      <c r="F17" s="5" t="s">
        <v>16</v>
      </c>
      <c r="G17" s="6"/>
      <c r="H17" s="6"/>
    </row>
    <row r="18" spans="2:8" x14ac:dyDescent="0.25">
      <c r="B18" s="5" t="s">
        <v>17</v>
      </c>
      <c r="C18" s="6"/>
      <c r="D18" s="6"/>
      <c r="F18" s="5" t="s">
        <v>18</v>
      </c>
      <c r="G18" s="6"/>
      <c r="H18" s="6"/>
    </row>
    <row r="19" spans="2:8" x14ac:dyDescent="0.25">
      <c r="B19" s="5" t="s">
        <v>19</v>
      </c>
      <c r="C19" s="6"/>
      <c r="D19" s="6"/>
      <c r="F19" s="5" t="s">
        <v>20</v>
      </c>
      <c r="G19" s="6"/>
      <c r="H19" s="6"/>
    </row>
    <row r="20" spans="2:8" x14ac:dyDescent="0.25">
      <c r="B20" s="5" t="s">
        <v>21</v>
      </c>
      <c r="C20" s="6"/>
      <c r="D20" s="6"/>
      <c r="F20" s="5" t="s">
        <v>22</v>
      </c>
      <c r="G20" s="6"/>
      <c r="H20" s="6"/>
    </row>
    <row r="21" spans="2:8" x14ac:dyDescent="0.25">
      <c r="B21" s="5" t="s">
        <v>48</v>
      </c>
      <c r="C21" s="6">
        <f>SUBTOTAL(109,tblDecorations[Estimated])</f>
        <v>0</v>
      </c>
      <c r="D21" s="6">
        <f>SUBTOTAL(109,tblDecorations[Actual])</f>
        <v>0</v>
      </c>
      <c r="F21" s="5" t="s">
        <v>48</v>
      </c>
      <c r="G21" s="6">
        <f>SUBTOTAL(109,tblPrograms[Estimated])</f>
        <v>350</v>
      </c>
      <c r="H21" s="6">
        <f>SUBTOTAL(109,tblPrograms[Actual])</f>
        <v>0</v>
      </c>
    </row>
    <row r="22" spans="2:8" x14ac:dyDescent="0.25">
      <c r="B22" s="21"/>
      <c r="C22" s="21"/>
      <c r="D22" s="21"/>
      <c r="F22" s="21"/>
      <c r="G22" s="21"/>
      <c r="H22" s="21"/>
    </row>
    <row r="24" spans="2:8" x14ac:dyDescent="0.25">
      <c r="B24" s="7" t="s">
        <v>23</v>
      </c>
      <c r="C24" s="7" t="s">
        <v>1</v>
      </c>
      <c r="D24" s="7" t="s">
        <v>2</v>
      </c>
      <c r="F24" s="7" t="s">
        <v>24</v>
      </c>
      <c r="G24" s="7" t="s">
        <v>1</v>
      </c>
      <c r="H24" s="7" t="s">
        <v>2</v>
      </c>
    </row>
    <row r="25" spans="2:8" x14ac:dyDescent="0.25">
      <c r="B25" s="5" t="s">
        <v>25</v>
      </c>
      <c r="C25" s="6">
        <v>100</v>
      </c>
      <c r="D25" s="6"/>
      <c r="F25" s="5" t="s">
        <v>26</v>
      </c>
      <c r="G25" s="6"/>
      <c r="H25" s="6"/>
    </row>
    <row r="26" spans="2:8" x14ac:dyDescent="0.25">
      <c r="B26" s="5" t="s">
        <v>61</v>
      </c>
      <c r="C26" s="6">
        <v>300</v>
      </c>
      <c r="D26" s="6"/>
      <c r="F26" s="5" t="s">
        <v>27</v>
      </c>
      <c r="G26" s="6"/>
      <c r="H26" s="6"/>
    </row>
    <row r="27" spans="2:8" x14ac:dyDescent="0.25">
      <c r="B27" s="5" t="s">
        <v>28</v>
      </c>
      <c r="C27" s="6"/>
      <c r="D27" s="6"/>
      <c r="F27" s="5" t="s">
        <v>48</v>
      </c>
      <c r="G27" s="6">
        <f>SUBTOTAL(109,tblPrizes[Estimated])</f>
        <v>0</v>
      </c>
      <c r="H27" s="6">
        <f>SUBTOTAL(109,tblPrizes[Actual])</f>
        <v>0</v>
      </c>
    </row>
    <row r="28" spans="2:8" x14ac:dyDescent="0.25">
      <c r="B28" s="5" t="s">
        <v>48</v>
      </c>
      <c r="C28" s="6">
        <f>SUBTOTAL(109,tblPublicity[Estimated])</f>
        <v>400</v>
      </c>
      <c r="D28" s="6">
        <f>SUBTOTAL(109,tblPublicity[Actual])</f>
        <v>0</v>
      </c>
      <c r="F28" s="21"/>
      <c r="G28" s="21"/>
      <c r="H28" s="21"/>
    </row>
    <row r="29" spans="2:8" x14ac:dyDescent="0.25">
      <c r="B29" s="21"/>
      <c r="C29" s="21"/>
      <c r="D29" s="21"/>
    </row>
    <row r="31" spans="2:8" x14ac:dyDescent="0.25">
      <c r="B31" s="7" t="s">
        <v>29</v>
      </c>
      <c r="C31" s="7" t="s">
        <v>1</v>
      </c>
      <c r="D31" s="7" t="s">
        <v>2</v>
      </c>
    </row>
    <row r="32" spans="2:8" x14ac:dyDescent="0.25">
      <c r="B32" s="5" t="s">
        <v>30</v>
      </c>
      <c r="C32" s="6"/>
      <c r="D32" s="6"/>
    </row>
    <row r="33" spans="2:4" x14ac:dyDescent="0.25">
      <c r="B33" s="5" t="s">
        <v>31</v>
      </c>
      <c r="C33" s="6"/>
      <c r="D33" s="6"/>
    </row>
    <row r="34" spans="2:4" x14ac:dyDescent="0.25">
      <c r="B34" s="5" t="s">
        <v>32</v>
      </c>
      <c r="C34" s="6"/>
      <c r="D34" s="6"/>
    </row>
    <row r="35" spans="2:4" x14ac:dyDescent="0.25">
      <c r="B35" s="5" t="s">
        <v>33</v>
      </c>
      <c r="C35" s="6"/>
      <c r="D35" s="6"/>
    </row>
    <row r="36" spans="2:4" x14ac:dyDescent="0.25">
      <c r="B36" s="5" t="s">
        <v>48</v>
      </c>
      <c r="C36" s="6">
        <f>SUBTOTAL(109,tblMisc[Estimated])</f>
        <v>0</v>
      </c>
      <c r="D36" s="6">
        <f>SUBTOTAL(109,tblMisc[Actual])</f>
        <v>0</v>
      </c>
    </row>
    <row r="37" spans="2:4" x14ac:dyDescent="0.25">
      <c r="B37" s="21"/>
      <c r="C37" s="21"/>
      <c r="D37" s="21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B2:G33"/>
  <sheetViews>
    <sheetView showGridLines="0" workbookViewId="0">
      <selection activeCell="B1" sqref="B1"/>
    </sheetView>
  </sheetViews>
  <sheetFormatPr defaultRowHeight="13.5" x14ac:dyDescent="0.2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7.75" x14ac:dyDescent="0.4">
      <c r="B2" s="1" t="str">
        <f>DASHBOARD!B2</f>
        <v>Event Budget for Fade to Black</v>
      </c>
      <c r="C2" s="1"/>
      <c r="D2" s="8"/>
      <c r="E2" s="1"/>
      <c r="F2" s="1"/>
      <c r="G2" s="1"/>
    </row>
    <row r="3" spans="2:7" ht="18" x14ac:dyDescent="0.25">
      <c r="B3" s="2" t="s">
        <v>34</v>
      </c>
      <c r="C3" s="2"/>
      <c r="D3" s="9"/>
      <c r="E3" s="2"/>
      <c r="F3" s="2"/>
      <c r="G3" s="2"/>
    </row>
    <row r="4" spans="2:7" ht="15.75" x14ac:dyDescent="0.25">
      <c r="E4" s="3" t="s">
        <v>54</v>
      </c>
      <c r="F4" s="17" t="s">
        <v>1</v>
      </c>
      <c r="G4" s="17" t="s">
        <v>2</v>
      </c>
    </row>
    <row r="5" spans="2:7" ht="15.75" x14ac:dyDescent="0.25">
      <c r="F5" s="18">
        <f>SUBTOTAL(109,tblAdmissions[[Estimated ]],tblAds[[Estimated ]],tblVendors[[Estimated ]],tblItems[[Estimated ]])</f>
        <v>2000</v>
      </c>
      <c r="G5" s="18">
        <f>SUBTOTAL(109,tblAdmissions[[Actual ]],tblAds[[Actual ]],tblVendors[[Actual ]],tblItems[[Actual ]])</f>
        <v>0</v>
      </c>
    </row>
    <row r="6" spans="2:7" ht="15.75" x14ac:dyDescent="0.25">
      <c r="B6" s="4" t="s">
        <v>35</v>
      </c>
    </row>
    <row r="7" spans="2:7" x14ac:dyDescent="0.25">
      <c r="B7" s="7" t="s">
        <v>1</v>
      </c>
      <c r="C7" s="7" t="s">
        <v>2</v>
      </c>
      <c r="D7" s="11" t="s">
        <v>49</v>
      </c>
      <c r="E7" s="7" t="s">
        <v>50</v>
      </c>
      <c r="F7" s="7" t="s">
        <v>51</v>
      </c>
      <c r="G7" s="7" t="s">
        <v>52</v>
      </c>
    </row>
    <row r="8" spans="2:7" x14ac:dyDescent="0.25">
      <c r="B8" s="5">
        <v>150</v>
      </c>
      <c r="C8" s="5"/>
      <c r="D8" s="12" t="s">
        <v>36</v>
      </c>
      <c r="E8" s="6">
        <v>10</v>
      </c>
      <c r="F8" s="16">
        <f>tblAdmissions[[#This Row],[  ]]*tblAdmissions[[#This Row],[Estimated]]</f>
        <v>1500</v>
      </c>
      <c r="G8" s="16">
        <f>tblAdmissions[[#This Row],[  ]]*tblAdmissions[[#This Row],[Actual]]</f>
        <v>0</v>
      </c>
    </row>
    <row r="9" spans="2:7" x14ac:dyDescent="0.25">
      <c r="B9" s="5">
        <v>10</v>
      </c>
      <c r="C9" s="5"/>
      <c r="D9" s="12" t="s">
        <v>63</v>
      </c>
      <c r="E9" s="6">
        <v>50</v>
      </c>
      <c r="F9" s="16">
        <f>tblAdmissions[[#This Row],[  ]]*tblAdmissions[[#This Row],[Estimated]]</f>
        <v>500</v>
      </c>
      <c r="G9" s="16">
        <f>tblAdmissions[[#This Row],[  ]]*tblAdmissions[[#This Row],[Actual]]</f>
        <v>0</v>
      </c>
    </row>
    <row r="10" spans="2:7" x14ac:dyDescent="0.25">
      <c r="B10" s="5"/>
      <c r="C10" s="5"/>
      <c r="D10" s="12" t="s">
        <v>37</v>
      </c>
      <c r="E10" s="6"/>
      <c r="F10" s="16">
        <f>tblAdmissions[[#This Row],[  ]]*tblAdmissions[[#This Row],[Estimated]]</f>
        <v>0</v>
      </c>
      <c r="G10" s="16">
        <f>tblAdmissions[[#This Row],[  ]]*tblAdmissions[[#This Row],[Actual]]</f>
        <v>0</v>
      </c>
    </row>
    <row r="11" spans="2:7" x14ac:dyDescent="0.25">
      <c r="B11" s="5" t="s">
        <v>48</v>
      </c>
      <c r="C11" s="5"/>
      <c r="D11" s="12"/>
      <c r="E11" s="6"/>
      <c r="F11" s="16">
        <f>SUBTOTAL(109,tblAdmissions[[Estimated ]])</f>
        <v>2000</v>
      </c>
      <c r="G11" s="16">
        <f>SUBTOTAL(109,tblAdmissions[[Actual ]])</f>
        <v>0</v>
      </c>
    </row>
    <row r="13" spans="2:7" ht="15.75" x14ac:dyDescent="0.25">
      <c r="B13" s="4" t="s">
        <v>38</v>
      </c>
    </row>
    <row r="14" spans="2:7" x14ac:dyDescent="0.25">
      <c r="B14" s="7" t="s">
        <v>1</v>
      </c>
      <c r="C14" s="7" t="s">
        <v>2</v>
      </c>
      <c r="D14" s="11" t="s">
        <v>49</v>
      </c>
      <c r="E14" s="7" t="s">
        <v>50</v>
      </c>
      <c r="F14" s="7" t="s">
        <v>51</v>
      </c>
      <c r="G14" s="7" t="s">
        <v>52</v>
      </c>
    </row>
    <row r="15" spans="2:7" x14ac:dyDescent="0.25">
      <c r="B15" s="5"/>
      <c r="C15" s="5"/>
      <c r="D15" s="12" t="s">
        <v>39</v>
      </c>
      <c r="E15" s="5"/>
      <c r="F15" s="16">
        <f>tblAds[[#This Row],[  ]]*tblAds[[#This Row],[Estimated]]</f>
        <v>0</v>
      </c>
      <c r="G15" s="16">
        <f>tblAds[[#This Row],[  ]]*tblAds[[#This Row],[Actual]]</f>
        <v>0</v>
      </c>
    </row>
    <row r="16" spans="2:7" x14ac:dyDescent="0.25">
      <c r="B16" s="5"/>
      <c r="C16" s="5"/>
      <c r="D16" s="12" t="s">
        <v>40</v>
      </c>
      <c r="E16" s="5"/>
      <c r="F16" s="16">
        <f>tblAds[[#This Row],[  ]]*tblAds[[#This Row],[Estimated]]</f>
        <v>0</v>
      </c>
      <c r="G16" s="16">
        <f>tblAds[[#This Row],[  ]]*tblAds[[#This Row],[Actual]]</f>
        <v>0</v>
      </c>
    </row>
    <row r="17" spans="2:7" x14ac:dyDescent="0.25">
      <c r="B17" s="5"/>
      <c r="C17" s="5"/>
      <c r="D17" s="12" t="s">
        <v>41</v>
      </c>
      <c r="E17" s="5"/>
      <c r="F17" s="16">
        <f>tblAds[[#This Row],[  ]]*tblAds[[#This Row],[Estimated]]</f>
        <v>0</v>
      </c>
      <c r="G17" s="16">
        <f>tblAds[[#This Row],[  ]]*tblAds[[#This Row],[Actual]]</f>
        <v>0</v>
      </c>
    </row>
    <row r="18" spans="2:7" x14ac:dyDescent="0.25">
      <c r="B18" s="5" t="s">
        <v>48</v>
      </c>
      <c r="C18" s="5"/>
      <c r="D18" s="12"/>
      <c r="E18" s="5"/>
      <c r="F18" s="16">
        <f>SUBTOTAL(109,tblAds[[Estimated ]])</f>
        <v>0</v>
      </c>
      <c r="G18" s="16">
        <f>SUBTOTAL(109,tblAds[[Actual ]])</f>
        <v>0</v>
      </c>
    </row>
    <row r="20" spans="2:7" ht="15.75" x14ac:dyDescent="0.25">
      <c r="B20" s="4" t="s">
        <v>42</v>
      </c>
    </row>
    <row r="21" spans="2:7" x14ac:dyDescent="0.25">
      <c r="B21" s="7" t="s">
        <v>1</v>
      </c>
      <c r="C21" s="7" t="s">
        <v>2</v>
      </c>
      <c r="D21" s="11" t="s">
        <v>49</v>
      </c>
      <c r="E21" s="7" t="s">
        <v>50</v>
      </c>
      <c r="F21" s="7" t="s">
        <v>51</v>
      </c>
      <c r="G21" s="7" t="s">
        <v>52</v>
      </c>
    </row>
    <row r="22" spans="2:7" x14ac:dyDescent="0.25">
      <c r="B22" s="5"/>
      <c r="C22" s="5"/>
      <c r="D22" s="12" t="s">
        <v>43</v>
      </c>
      <c r="E22" s="5"/>
      <c r="F22" s="16">
        <f>tblVendors[[#This Row],[  ]]*tblVendors[[#This Row],[Estimated]]</f>
        <v>0</v>
      </c>
      <c r="G22" s="16">
        <f>tblVendors[[#This Row],[  ]]*tblVendors[[#This Row],[Actual]]</f>
        <v>0</v>
      </c>
    </row>
    <row r="23" spans="2:7" x14ac:dyDescent="0.25">
      <c r="B23" s="5"/>
      <c r="C23" s="5"/>
      <c r="D23" s="12" t="s">
        <v>44</v>
      </c>
      <c r="E23" s="5"/>
      <c r="F23" s="16">
        <f>tblVendors[[#This Row],[  ]]*tblVendors[[#This Row],[Estimated]]</f>
        <v>0</v>
      </c>
      <c r="G23" s="16">
        <f>tblVendors[[#This Row],[  ]]*tblVendors[[#This Row],[Actual]]</f>
        <v>0</v>
      </c>
    </row>
    <row r="24" spans="2:7" x14ac:dyDescent="0.25">
      <c r="B24" s="5"/>
      <c r="C24" s="5"/>
      <c r="D24" s="12" t="s">
        <v>45</v>
      </c>
      <c r="E24" s="5"/>
      <c r="F24" s="16">
        <f>tblVendors[[#This Row],[  ]]*tblVendors[[#This Row],[Estimated]]</f>
        <v>0</v>
      </c>
      <c r="G24" s="16">
        <f>tblVendors[[#This Row],[  ]]*tblVendors[[#This Row],[Actual]]</f>
        <v>0</v>
      </c>
    </row>
    <row r="25" spans="2:7" x14ac:dyDescent="0.25">
      <c r="B25" s="5" t="s">
        <v>48</v>
      </c>
      <c r="C25" s="5"/>
      <c r="D25" s="12"/>
      <c r="E25" s="5"/>
      <c r="F25" s="16">
        <f>SUBTOTAL(109,tblVendors[[Estimated ]])</f>
        <v>0</v>
      </c>
      <c r="G25" s="16">
        <f>SUBTOTAL(109,tblVendors[[Actual ]])</f>
        <v>0</v>
      </c>
    </row>
    <row r="27" spans="2:7" ht="15.75" x14ac:dyDescent="0.25">
      <c r="B27" s="4" t="s">
        <v>46</v>
      </c>
    </row>
    <row r="28" spans="2:7" x14ac:dyDescent="0.25">
      <c r="B28" s="7" t="s">
        <v>1</v>
      </c>
      <c r="C28" s="7" t="s">
        <v>2</v>
      </c>
      <c r="D28" s="11" t="s">
        <v>49</v>
      </c>
      <c r="E28" s="7" t="s">
        <v>50</v>
      </c>
      <c r="F28" s="7" t="s">
        <v>51</v>
      </c>
      <c r="G28" s="7" t="s">
        <v>52</v>
      </c>
    </row>
    <row r="29" spans="2:7" x14ac:dyDescent="0.25">
      <c r="B29" s="5"/>
      <c r="C29" s="5"/>
      <c r="D29" s="12" t="s">
        <v>47</v>
      </c>
      <c r="E29" s="5"/>
      <c r="F29" s="16">
        <f>tblItems[[#This Row],[  ]]*tblItems[[#This Row],[Estimated]]</f>
        <v>0</v>
      </c>
      <c r="G29" s="16">
        <f>tblItems[[#This Row],[  ]]*tblItems[[#This Row],[Actual]]</f>
        <v>0</v>
      </c>
    </row>
    <row r="30" spans="2:7" x14ac:dyDescent="0.25">
      <c r="B30" s="5"/>
      <c r="C30" s="5"/>
      <c r="D30" s="12" t="s">
        <v>47</v>
      </c>
      <c r="E30" s="5"/>
      <c r="F30" s="16">
        <f>tblItems[[#This Row],[  ]]*tblItems[[#This Row],[Estimated]]</f>
        <v>0</v>
      </c>
      <c r="G30" s="16">
        <f>tblItems[[#This Row],[  ]]*tblItems[[#This Row],[Actual]]</f>
        <v>0</v>
      </c>
    </row>
    <row r="31" spans="2:7" x14ac:dyDescent="0.25">
      <c r="B31" s="5"/>
      <c r="C31" s="5"/>
      <c r="D31" s="12" t="s">
        <v>47</v>
      </c>
      <c r="E31" s="5"/>
      <c r="F31" s="16">
        <f>tblItems[[#This Row],[  ]]*tblItems[[#This Row],[Estimated]]</f>
        <v>0</v>
      </c>
      <c r="G31" s="16">
        <f>tblItems[[#This Row],[  ]]*tblItems[[#This Row],[Actual]]</f>
        <v>0</v>
      </c>
    </row>
    <row r="32" spans="2:7" x14ac:dyDescent="0.25">
      <c r="B32" s="5"/>
      <c r="C32" s="5"/>
      <c r="D32" s="12" t="s">
        <v>47</v>
      </c>
      <c r="E32" s="5"/>
      <c r="F32" s="16">
        <f>tblItems[[#This Row],[  ]]*tblItems[[#This Row],[Estimated]]</f>
        <v>0</v>
      </c>
      <c r="G32" s="16">
        <f>tblItems[[#This Row],[  ]]*tblItems[[#This Row],[Actual]]</f>
        <v>0</v>
      </c>
    </row>
    <row r="33" spans="2:7" x14ac:dyDescent="0.25">
      <c r="B33" s="5" t="s">
        <v>48</v>
      </c>
      <c r="C33" s="5"/>
      <c r="D33" s="12"/>
      <c r="E33" s="5"/>
      <c r="F33" s="16">
        <f>SUBTOTAL(109,tblItems[[Estimated ]])</f>
        <v>0</v>
      </c>
      <c r="G33" s="16">
        <f>SUBTOTAL(109,tblItems[[Actual ]])</f>
        <v>0</v>
      </c>
    </row>
  </sheetData>
  <pageMargins left="0.4" right="0.4" top="0.4" bottom="0.4" header="0.3" footer="0.3"/>
  <pageSetup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2:F8"/>
  <sheetViews>
    <sheetView showGridLines="0" workbookViewId="0">
      <selection activeCell="H23" sqref="H23"/>
    </sheetView>
  </sheetViews>
  <sheetFormatPr defaultRowHeight="13.5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</cols>
  <sheetData>
    <row r="2" spans="2:6" ht="27.75" x14ac:dyDescent="0.4">
      <c r="B2" s="22" t="s">
        <v>64</v>
      </c>
      <c r="C2" s="1"/>
      <c r="D2" s="1"/>
      <c r="E2" s="1"/>
      <c r="F2" s="1"/>
    </row>
    <row r="3" spans="2:6" ht="18" x14ac:dyDescent="0.25">
      <c r="B3" s="2" t="s">
        <v>53</v>
      </c>
      <c r="C3" s="2"/>
      <c r="D3" s="2"/>
    </row>
    <row r="5" spans="2:6" ht="15" x14ac:dyDescent="0.25">
      <c r="B5" s="13" t="s">
        <v>49</v>
      </c>
      <c r="C5" s="13" t="s">
        <v>1</v>
      </c>
      <c r="D5" s="13" t="s">
        <v>2</v>
      </c>
    </row>
    <row r="6" spans="2:6" ht="36.75" customHeight="1" x14ac:dyDescent="0.25">
      <c r="B6" s="14" t="s">
        <v>54</v>
      </c>
      <c r="C6" s="15">
        <f>'INCOME (2)'!F5</f>
        <v>8750</v>
      </c>
      <c r="D6" s="15">
        <f>'INCOME (2)'!G5</f>
        <v>0</v>
      </c>
    </row>
    <row r="7" spans="2:6" ht="36.75" customHeight="1" x14ac:dyDescent="0.25">
      <c r="B7" s="14" t="s">
        <v>55</v>
      </c>
      <c r="C7" s="15">
        <f>'EXPENSES (2)'!G5</f>
        <v>4505</v>
      </c>
      <c r="D7" s="15">
        <f>'EXPENSES (2)'!H5</f>
        <v>0</v>
      </c>
    </row>
    <row r="8" spans="2:6" ht="36.75" customHeight="1" x14ac:dyDescent="0.25">
      <c r="B8" s="14" t="s">
        <v>56</v>
      </c>
      <c r="C8" s="15">
        <f>C6-C7</f>
        <v>4245</v>
      </c>
      <c r="D8" s="15">
        <f>D6-D7</f>
        <v>0</v>
      </c>
    </row>
  </sheetData>
  <pageMargins left="0.4" right="0.4" top="0.4" bottom="0.4" header="0.3" footer="0.3"/>
  <pageSetup orientation="landscape" horizontalDpi="4294967293" verticalDpi="599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B2:H37"/>
  <sheetViews>
    <sheetView showGridLines="0" workbookViewId="0">
      <selection activeCell="D3" sqref="D3"/>
    </sheetView>
  </sheetViews>
  <sheetFormatPr defaultRowHeight="13.5" x14ac:dyDescent="0.2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2" spans="2:8" ht="27.75" x14ac:dyDescent="0.4">
      <c r="B2" s="22" t="str">
        <f>'DASHBOARD (2)'!B2</f>
        <v>Winter White Mansion Party (Partnership): Dec. 9, 2017</v>
      </c>
      <c r="C2" s="1"/>
      <c r="D2" s="1"/>
      <c r="E2" s="1"/>
      <c r="F2" s="20" t="s">
        <v>69</v>
      </c>
      <c r="G2" s="1"/>
      <c r="H2" s="1"/>
    </row>
    <row r="3" spans="2:8" ht="18" x14ac:dyDescent="0.25">
      <c r="B3" s="2" t="s">
        <v>0</v>
      </c>
      <c r="C3" s="2"/>
      <c r="D3" s="2"/>
      <c r="E3" s="2"/>
      <c r="F3" s="2"/>
      <c r="G3" s="2"/>
      <c r="H3" s="2"/>
    </row>
    <row r="4" spans="2:8" ht="15.75" x14ac:dyDescent="0.25">
      <c r="F4" s="3" t="s">
        <v>55</v>
      </c>
      <c r="G4" s="17" t="s">
        <v>1</v>
      </c>
      <c r="H4" s="17" t="s">
        <v>2</v>
      </c>
    </row>
    <row r="5" spans="2:8" ht="15.75" x14ac:dyDescent="0.25">
      <c r="G5" s="18">
        <f>SUBTOTAL(109,tblSite15[Estimated],tblRefreshments16[Estimated],tblPrograms17[Estimated],tblDecorations18[Estimated],tblPrizes20[Estimated],tblPublicity19[Estimated],tblMisc21[Estimated])</f>
        <v>4505</v>
      </c>
      <c r="H5" s="18">
        <f>SUBTOTAL(109,tblSite15[Actual],tblRefreshments16[Actual],tblPrograms17[Actual],tblDecorations18[Actual],tblPrizes20[Actual],tblPublicity19[Actual],tblMisc21[Actual])</f>
        <v>0</v>
      </c>
    </row>
    <row r="7" spans="2:8" x14ac:dyDescent="0.25">
      <c r="B7" s="7" t="s">
        <v>3</v>
      </c>
      <c r="C7" s="7" t="s">
        <v>1</v>
      </c>
      <c r="D7" s="7" t="s">
        <v>2</v>
      </c>
      <c r="F7" s="7" t="s">
        <v>58</v>
      </c>
      <c r="G7" s="7" t="s">
        <v>1</v>
      </c>
      <c r="H7" s="7" t="s">
        <v>2</v>
      </c>
    </row>
    <row r="8" spans="2:8" x14ac:dyDescent="0.25">
      <c r="B8" s="5" t="s">
        <v>4</v>
      </c>
      <c r="C8" s="23">
        <v>2500</v>
      </c>
      <c r="D8" s="6"/>
      <c r="F8" s="5" t="s">
        <v>5</v>
      </c>
      <c r="G8" s="6">
        <v>500</v>
      </c>
      <c r="H8" s="6"/>
    </row>
    <row r="9" spans="2:8" x14ac:dyDescent="0.25">
      <c r="B9" s="5" t="s">
        <v>6</v>
      </c>
      <c r="C9" s="6"/>
      <c r="D9" s="6"/>
      <c r="F9" s="5" t="s">
        <v>7</v>
      </c>
      <c r="G9" s="6"/>
      <c r="H9" s="6"/>
    </row>
    <row r="10" spans="2:8" x14ac:dyDescent="0.25">
      <c r="B10" s="5" t="s">
        <v>8</v>
      </c>
      <c r="C10" s="6"/>
      <c r="D10" s="6"/>
      <c r="F10" s="5" t="s">
        <v>9</v>
      </c>
      <c r="G10" s="6"/>
      <c r="H10" s="6"/>
    </row>
    <row r="11" spans="2:8" x14ac:dyDescent="0.25">
      <c r="B11" s="5" t="s">
        <v>10</v>
      </c>
      <c r="C11" s="6"/>
      <c r="D11" s="6"/>
      <c r="F11" s="5" t="s">
        <v>11</v>
      </c>
      <c r="G11" s="6">
        <v>250</v>
      </c>
      <c r="H11" s="6"/>
    </row>
    <row r="12" spans="2:8" x14ac:dyDescent="0.25">
      <c r="B12" s="5" t="s">
        <v>48</v>
      </c>
      <c r="C12" s="6">
        <f>SUBTOTAL(109,tblSite15[Estimated])</f>
        <v>2500</v>
      </c>
      <c r="D12" s="6">
        <f>SUBTOTAL(109,tblSite15[Actual])</f>
        <v>0</v>
      </c>
      <c r="F12" s="5" t="s">
        <v>48</v>
      </c>
      <c r="G12" s="6">
        <f>SUBTOTAL(109,tblRefreshments16[Estimated])</f>
        <v>750</v>
      </c>
      <c r="H12" s="6">
        <f>SUBTOTAL(109,tblRefreshments16[Actual])</f>
        <v>0</v>
      </c>
    </row>
    <row r="13" spans="2:8" x14ac:dyDescent="0.25">
      <c r="B13" s="21"/>
      <c r="C13" s="21"/>
      <c r="D13" s="21"/>
      <c r="F13" s="21"/>
      <c r="G13" s="21"/>
      <c r="H13" s="21"/>
    </row>
    <row r="15" spans="2:8" x14ac:dyDescent="0.25">
      <c r="B15" s="7" t="s">
        <v>12</v>
      </c>
      <c r="C15" s="7" t="s">
        <v>1</v>
      </c>
      <c r="D15" s="7" t="s">
        <v>2</v>
      </c>
      <c r="F15" s="7" t="s">
        <v>13</v>
      </c>
      <c r="G15" s="7" t="s">
        <v>1</v>
      </c>
      <c r="H15" s="7" t="s">
        <v>2</v>
      </c>
    </row>
    <row r="16" spans="2:8" x14ac:dyDescent="0.25">
      <c r="B16" s="5" t="s">
        <v>68</v>
      </c>
      <c r="C16" s="6">
        <v>80</v>
      </c>
      <c r="D16" s="6"/>
      <c r="F16" s="5" t="s">
        <v>59</v>
      </c>
      <c r="G16" s="6">
        <v>250</v>
      </c>
      <c r="H16" s="6"/>
    </row>
    <row r="17" spans="2:8" x14ac:dyDescent="0.25">
      <c r="B17" s="5" t="s">
        <v>67</v>
      </c>
      <c r="C17" s="6">
        <v>250</v>
      </c>
      <c r="D17" s="6"/>
      <c r="F17" s="5" t="s">
        <v>16</v>
      </c>
      <c r="G17" s="6"/>
      <c r="H17" s="6"/>
    </row>
    <row r="18" spans="2:8" x14ac:dyDescent="0.25">
      <c r="B18" s="5" t="s">
        <v>17</v>
      </c>
      <c r="C18" s="6"/>
      <c r="D18" s="6"/>
      <c r="F18" s="5" t="s">
        <v>18</v>
      </c>
      <c r="G18" s="6"/>
      <c r="H18" s="6"/>
    </row>
    <row r="19" spans="2:8" x14ac:dyDescent="0.25">
      <c r="B19" s="5" t="s">
        <v>19</v>
      </c>
      <c r="C19" s="6"/>
      <c r="D19" s="6"/>
      <c r="F19" s="5" t="s">
        <v>20</v>
      </c>
      <c r="G19" s="6"/>
      <c r="H19" s="6"/>
    </row>
    <row r="20" spans="2:8" x14ac:dyDescent="0.25">
      <c r="B20" s="5" t="s">
        <v>21</v>
      </c>
      <c r="C20" s="6"/>
      <c r="D20" s="6"/>
      <c r="F20" s="5" t="s">
        <v>22</v>
      </c>
      <c r="G20" s="6"/>
      <c r="H20" s="6"/>
    </row>
    <row r="21" spans="2:8" x14ac:dyDescent="0.25">
      <c r="B21" s="5" t="s">
        <v>48</v>
      </c>
      <c r="C21" s="6">
        <f>SUBTOTAL(109,tblDecorations18[Estimated])</f>
        <v>330</v>
      </c>
      <c r="D21" s="6">
        <f>SUBTOTAL(109,tblDecorations18[Actual])</f>
        <v>0</v>
      </c>
      <c r="F21" s="5" t="s">
        <v>48</v>
      </c>
      <c r="G21" s="6">
        <f>SUBTOTAL(109,tblPrograms17[Estimated])</f>
        <v>250</v>
      </c>
      <c r="H21" s="6">
        <f>SUBTOTAL(109,tblPrograms17[Actual])</f>
        <v>0</v>
      </c>
    </row>
    <row r="22" spans="2:8" x14ac:dyDescent="0.25">
      <c r="B22" s="21"/>
      <c r="C22" s="21"/>
      <c r="D22" s="21"/>
      <c r="F22" s="21"/>
      <c r="G22" s="21"/>
      <c r="H22" s="21"/>
    </row>
    <row r="24" spans="2:8" x14ac:dyDescent="0.25">
      <c r="B24" s="7" t="s">
        <v>23</v>
      </c>
      <c r="C24" s="7" t="s">
        <v>1</v>
      </c>
      <c r="D24" s="7" t="s">
        <v>2</v>
      </c>
      <c r="F24" s="7" t="s">
        <v>24</v>
      </c>
      <c r="G24" s="7" t="s">
        <v>1</v>
      </c>
      <c r="H24" s="7" t="s">
        <v>2</v>
      </c>
    </row>
    <row r="25" spans="2:8" x14ac:dyDescent="0.25">
      <c r="B25" s="5" t="s">
        <v>25</v>
      </c>
      <c r="C25" s="6">
        <v>100</v>
      </c>
      <c r="D25" s="6"/>
      <c r="F25" s="5" t="s">
        <v>26</v>
      </c>
      <c r="G25" s="6"/>
      <c r="H25" s="6"/>
    </row>
    <row r="26" spans="2:8" x14ac:dyDescent="0.25">
      <c r="B26" s="5" t="s">
        <v>61</v>
      </c>
      <c r="C26" s="6">
        <v>300</v>
      </c>
      <c r="D26" s="6"/>
      <c r="F26" s="5" t="s">
        <v>27</v>
      </c>
      <c r="G26" s="6"/>
      <c r="H26" s="6"/>
    </row>
    <row r="27" spans="2:8" x14ac:dyDescent="0.25">
      <c r="B27" s="5" t="s">
        <v>66</v>
      </c>
      <c r="C27" s="6">
        <v>75</v>
      </c>
      <c r="D27" s="6"/>
      <c r="F27" s="5" t="s">
        <v>48</v>
      </c>
      <c r="G27" s="6">
        <f>SUBTOTAL(109,tblPrizes20[Estimated])</f>
        <v>0</v>
      </c>
      <c r="H27" s="6">
        <f>SUBTOTAL(109,tblPrizes20[Actual])</f>
        <v>0</v>
      </c>
    </row>
    <row r="28" spans="2:8" x14ac:dyDescent="0.25">
      <c r="B28" s="5" t="s">
        <v>48</v>
      </c>
      <c r="C28" s="6">
        <f>SUBTOTAL(109,tblPublicity19[Estimated])</f>
        <v>475</v>
      </c>
      <c r="D28" s="6">
        <f>SUBTOTAL(109,tblPublicity19[Actual])</f>
        <v>0</v>
      </c>
      <c r="F28" s="21"/>
      <c r="G28" s="21"/>
      <c r="H28" s="21"/>
    </row>
    <row r="29" spans="2:8" x14ac:dyDescent="0.25">
      <c r="B29" s="21"/>
      <c r="C29" s="21"/>
      <c r="D29" s="21"/>
    </row>
    <row r="31" spans="2:8" x14ac:dyDescent="0.25">
      <c r="B31" s="7" t="s">
        <v>29</v>
      </c>
      <c r="C31" s="7" t="s">
        <v>1</v>
      </c>
      <c r="D31" s="7" t="s">
        <v>2</v>
      </c>
    </row>
    <row r="32" spans="2:8" x14ac:dyDescent="0.25">
      <c r="B32" s="5" t="s">
        <v>65</v>
      </c>
      <c r="C32" s="6">
        <v>200</v>
      </c>
      <c r="D32" s="6"/>
    </row>
    <row r="33" spans="2:4" x14ac:dyDescent="0.25">
      <c r="B33" s="5" t="s">
        <v>31</v>
      </c>
      <c r="C33" s="6"/>
      <c r="D33" s="6"/>
    </row>
    <row r="34" spans="2:4" x14ac:dyDescent="0.25">
      <c r="B34" s="5" t="s">
        <v>32</v>
      </c>
      <c r="C34" s="6"/>
      <c r="D34" s="6"/>
    </row>
    <row r="35" spans="2:4" x14ac:dyDescent="0.25">
      <c r="B35" s="5" t="s">
        <v>33</v>
      </c>
      <c r="C35" s="6"/>
      <c r="D35" s="6"/>
    </row>
    <row r="36" spans="2:4" x14ac:dyDescent="0.25">
      <c r="B36" s="5" t="s">
        <v>48</v>
      </c>
      <c r="C36" s="6">
        <f>SUBTOTAL(109,tblMisc21[Estimated])</f>
        <v>200</v>
      </c>
      <c r="D36" s="6">
        <f>SUBTOTAL(109,tblMisc21[Actual])</f>
        <v>0</v>
      </c>
    </row>
    <row r="37" spans="2:4" x14ac:dyDescent="0.25">
      <c r="B37" s="21"/>
      <c r="C37" s="21"/>
      <c r="D37" s="21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B2:G33"/>
  <sheetViews>
    <sheetView showGridLines="0" workbookViewId="0">
      <selection activeCell="D13" sqref="D13"/>
    </sheetView>
  </sheetViews>
  <sheetFormatPr defaultRowHeight="13.5" x14ac:dyDescent="0.2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7.75" x14ac:dyDescent="0.4">
      <c r="B2" s="1" t="str">
        <f>'DASHBOARD (2)'!B2</f>
        <v>Winter White Mansion Party (Partnership): Dec. 9, 2017</v>
      </c>
      <c r="C2" s="1"/>
      <c r="D2" s="8"/>
      <c r="E2" s="1"/>
      <c r="F2" s="1"/>
      <c r="G2" s="1"/>
    </row>
    <row r="3" spans="2:7" ht="18" x14ac:dyDescent="0.25">
      <c r="B3" s="2" t="s">
        <v>34</v>
      </c>
      <c r="C3" s="2"/>
      <c r="D3" s="9"/>
      <c r="E3" s="2"/>
      <c r="F3" s="2"/>
      <c r="G3" s="2"/>
    </row>
    <row r="4" spans="2:7" ht="15.75" x14ac:dyDescent="0.25">
      <c r="E4" s="3" t="s">
        <v>54</v>
      </c>
      <c r="F4" s="17" t="s">
        <v>1</v>
      </c>
      <c r="G4" s="17" t="s">
        <v>2</v>
      </c>
    </row>
    <row r="5" spans="2:7" ht="15.75" x14ac:dyDescent="0.25">
      <c r="F5" s="18">
        <f>SUBTOTAL(109,tblAdmissions22[[Estimated ]],tblAds25[[Estimated ]],tblVendors24[[Estimated ]],tblItems23[[Estimated ]])</f>
        <v>8750</v>
      </c>
      <c r="G5" s="18">
        <f>SUBTOTAL(109,tblAdmissions22[[Actual ]],tblAds25[[Actual ]],tblVendors24[[Actual ]],tblItems23[[Actual ]])</f>
        <v>0</v>
      </c>
    </row>
    <row r="6" spans="2:7" ht="15.75" x14ac:dyDescent="0.25">
      <c r="B6" s="4" t="s">
        <v>35</v>
      </c>
    </row>
    <row r="7" spans="2:7" x14ac:dyDescent="0.25">
      <c r="B7" s="7" t="s">
        <v>1</v>
      </c>
      <c r="C7" s="7" t="s">
        <v>2</v>
      </c>
      <c r="D7" s="11" t="s">
        <v>49</v>
      </c>
      <c r="E7" s="7" t="s">
        <v>50</v>
      </c>
      <c r="F7" s="7" t="s">
        <v>51</v>
      </c>
      <c r="G7" s="7" t="s">
        <v>52</v>
      </c>
    </row>
    <row r="8" spans="2:7" x14ac:dyDescent="0.25">
      <c r="B8" s="5">
        <v>175</v>
      </c>
      <c r="C8" s="5"/>
      <c r="D8" s="12" t="s">
        <v>36</v>
      </c>
      <c r="E8" s="6">
        <v>50</v>
      </c>
      <c r="F8" s="16">
        <f>tblAdmissions22[[#This Row],[  ]]*tblAdmissions22[[#This Row],[Estimated]]</f>
        <v>8750</v>
      </c>
      <c r="G8" s="16">
        <f>tblAdmissions22[[#This Row],[  ]]*tblAdmissions22[[#This Row],[Actual]]</f>
        <v>0</v>
      </c>
    </row>
    <row r="9" spans="2:7" x14ac:dyDescent="0.25">
      <c r="B9" s="5"/>
      <c r="C9" s="5"/>
      <c r="D9" s="12" t="s">
        <v>63</v>
      </c>
      <c r="E9" s="6"/>
      <c r="F9" s="16">
        <f>tblAdmissions22[[#This Row],[  ]]*tblAdmissions22[[#This Row],[Estimated]]</f>
        <v>0</v>
      </c>
      <c r="G9" s="16">
        <f>tblAdmissions22[[#This Row],[  ]]*tblAdmissions22[[#This Row],[Actual]]</f>
        <v>0</v>
      </c>
    </row>
    <row r="10" spans="2:7" x14ac:dyDescent="0.25">
      <c r="B10" s="5"/>
      <c r="C10" s="5"/>
      <c r="D10" s="12" t="s">
        <v>37</v>
      </c>
      <c r="E10" s="6"/>
      <c r="F10" s="16">
        <f>tblAdmissions22[[#This Row],[  ]]*tblAdmissions22[[#This Row],[Estimated]]</f>
        <v>0</v>
      </c>
      <c r="G10" s="16">
        <f>tblAdmissions22[[#This Row],[  ]]*tblAdmissions22[[#This Row],[Actual]]</f>
        <v>0</v>
      </c>
    </row>
    <row r="11" spans="2:7" x14ac:dyDescent="0.25">
      <c r="B11" s="5" t="s">
        <v>48</v>
      </c>
      <c r="C11" s="5"/>
      <c r="D11" s="12"/>
      <c r="E11" s="6"/>
      <c r="F11" s="16">
        <f>SUBTOTAL(109,tblAdmissions22[[Estimated ]])</f>
        <v>8750</v>
      </c>
      <c r="G11" s="16">
        <f>SUBTOTAL(109,tblAdmissions22[[Actual ]])</f>
        <v>0</v>
      </c>
    </row>
    <row r="13" spans="2:7" ht="15.75" x14ac:dyDescent="0.25">
      <c r="B13" s="4" t="s">
        <v>38</v>
      </c>
    </row>
    <row r="14" spans="2:7" x14ac:dyDescent="0.25">
      <c r="B14" s="7" t="s">
        <v>1</v>
      </c>
      <c r="C14" s="7" t="s">
        <v>2</v>
      </c>
      <c r="D14" s="11" t="s">
        <v>49</v>
      </c>
      <c r="E14" s="7" t="s">
        <v>50</v>
      </c>
      <c r="F14" s="7" t="s">
        <v>51</v>
      </c>
      <c r="G14" s="7" t="s">
        <v>52</v>
      </c>
    </row>
    <row r="15" spans="2:7" x14ac:dyDescent="0.25">
      <c r="B15" s="5"/>
      <c r="C15" s="5"/>
      <c r="D15" s="12" t="s">
        <v>39</v>
      </c>
      <c r="E15" s="5"/>
      <c r="F15" s="16">
        <f>tblAds25[[#This Row],[  ]]*tblAds25[[#This Row],[Estimated]]</f>
        <v>0</v>
      </c>
      <c r="G15" s="16">
        <f>tblAds25[[#This Row],[  ]]*tblAds25[[#This Row],[Actual]]</f>
        <v>0</v>
      </c>
    </row>
    <row r="16" spans="2:7" x14ac:dyDescent="0.25">
      <c r="B16" s="5"/>
      <c r="C16" s="5"/>
      <c r="D16" s="12" t="s">
        <v>40</v>
      </c>
      <c r="E16" s="5"/>
      <c r="F16" s="16">
        <f>tblAds25[[#This Row],[  ]]*tblAds25[[#This Row],[Estimated]]</f>
        <v>0</v>
      </c>
      <c r="G16" s="16">
        <f>tblAds25[[#This Row],[  ]]*tblAds25[[#This Row],[Actual]]</f>
        <v>0</v>
      </c>
    </row>
    <row r="17" spans="2:7" x14ac:dyDescent="0.25">
      <c r="B17" s="5"/>
      <c r="C17" s="5"/>
      <c r="D17" s="12" t="s">
        <v>41</v>
      </c>
      <c r="E17" s="5"/>
      <c r="F17" s="16">
        <f>tblAds25[[#This Row],[  ]]*tblAds25[[#This Row],[Estimated]]</f>
        <v>0</v>
      </c>
      <c r="G17" s="16">
        <f>tblAds25[[#This Row],[  ]]*tblAds25[[#This Row],[Actual]]</f>
        <v>0</v>
      </c>
    </row>
    <row r="18" spans="2:7" x14ac:dyDescent="0.25">
      <c r="B18" s="5" t="s">
        <v>48</v>
      </c>
      <c r="C18" s="5"/>
      <c r="D18" s="12"/>
      <c r="E18" s="5"/>
      <c r="F18" s="16">
        <f>SUBTOTAL(109,tblAds25[[Estimated ]])</f>
        <v>0</v>
      </c>
      <c r="G18" s="16">
        <f>SUBTOTAL(109,tblAds25[[Actual ]])</f>
        <v>0</v>
      </c>
    </row>
    <row r="20" spans="2:7" ht="15.75" x14ac:dyDescent="0.25">
      <c r="B20" s="4" t="s">
        <v>42</v>
      </c>
    </row>
    <row r="21" spans="2:7" x14ac:dyDescent="0.25">
      <c r="B21" s="7" t="s">
        <v>1</v>
      </c>
      <c r="C21" s="7" t="s">
        <v>2</v>
      </c>
      <c r="D21" s="11" t="s">
        <v>49</v>
      </c>
      <c r="E21" s="7" t="s">
        <v>50</v>
      </c>
      <c r="F21" s="7" t="s">
        <v>51</v>
      </c>
      <c r="G21" s="7" t="s">
        <v>52</v>
      </c>
    </row>
    <row r="22" spans="2:7" x14ac:dyDescent="0.25">
      <c r="B22" s="5"/>
      <c r="C22" s="5"/>
      <c r="D22" s="12" t="s">
        <v>43</v>
      </c>
      <c r="E22" s="5"/>
      <c r="F22" s="16">
        <f>tblVendors24[[#This Row],[  ]]*tblVendors24[[#This Row],[Estimated]]</f>
        <v>0</v>
      </c>
      <c r="G22" s="16">
        <f>tblVendors24[[#This Row],[  ]]*tblVendors24[[#This Row],[Actual]]</f>
        <v>0</v>
      </c>
    </row>
    <row r="23" spans="2:7" x14ac:dyDescent="0.25">
      <c r="B23" s="5"/>
      <c r="C23" s="5"/>
      <c r="D23" s="12" t="s">
        <v>44</v>
      </c>
      <c r="E23" s="5"/>
      <c r="F23" s="16">
        <f>tblVendors24[[#This Row],[  ]]*tblVendors24[[#This Row],[Estimated]]</f>
        <v>0</v>
      </c>
      <c r="G23" s="16">
        <f>tblVendors24[[#This Row],[  ]]*tblVendors24[[#This Row],[Actual]]</f>
        <v>0</v>
      </c>
    </row>
    <row r="24" spans="2:7" x14ac:dyDescent="0.25">
      <c r="B24" s="5"/>
      <c r="C24" s="5"/>
      <c r="D24" s="12" t="s">
        <v>45</v>
      </c>
      <c r="E24" s="5"/>
      <c r="F24" s="16">
        <f>tblVendors24[[#This Row],[  ]]*tblVendors24[[#This Row],[Estimated]]</f>
        <v>0</v>
      </c>
      <c r="G24" s="16">
        <f>tblVendors24[[#This Row],[  ]]*tblVendors24[[#This Row],[Actual]]</f>
        <v>0</v>
      </c>
    </row>
    <row r="25" spans="2:7" x14ac:dyDescent="0.25">
      <c r="B25" s="5" t="s">
        <v>48</v>
      </c>
      <c r="C25" s="5"/>
      <c r="D25" s="12"/>
      <c r="E25" s="5"/>
      <c r="F25" s="16">
        <f>SUBTOTAL(109,tblVendors24[[Estimated ]])</f>
        <v>0</v>
      </c>
      <c r="G25" s="16">
        <f>SUBTOTAL(109,tblVendors24[[Actual ]])</f>
        <v>0</v>
      </c>
    </row>
    <row r="27" spans="2:7" ht="15.75" x14ac:dyDescent="0.25">
      <c r="B27" s="4" t="s">
        <v>46</v>
      </c>
    </row>
    <row r="28" spans="2:7" x14ac:dyDescent="0.25">
      <c r="B28" s="7" t="s">
        <v>1</v>
      </c>
      <c r="C28" s="7" t="s">
        <v>2</v>
      </c>
      <c r="D28" s="11" t="s">
        <v>49</v>
      </c>
      <c r="E28" s="7" t="s">
        <v>50</v>
      </c>
      <c r="F28" s="7" t="s">
        <v>51</v>
      </c>
      <c r="G28" s="7" t="s">
        <v>52</v>
      </c>
    </row>
    <row r="29" spans="2:7" x14ac:dyDescent="0.25">
      <c r="B29" s="5"/>
      <c r="C29" s="5"/>
      <c r="D29" s="12" t="s">
        <v>47</v>
      </c>
      <c r="E29" s="5"/>
      <c r="F29" s="16">
        <f>tblItems23[[#This Row],[  ]]*tblItems23[[#This Row],[Estimated]]</f>
        <v>0</v>
      </c>
      <c r="G29" s="16">
        <f>tblItems23[[#This Row],[  ]]*tblItems23[[#This Row],[Actual]]</f>
        <v>0</v>
      </c>
    </row>
    <row r="30" spans="2:7" x14ac:dyDescent="0.25">
      <c r="B30" s="5"/>
      <c r="C30" s="5"/>
      <c r="D30" s="12" t="s">
        <v>47</v>
      </c>
      <c r="E30" s="5"/>
      <c r="F30" s="16">
        <f>tblItems23[[#This Row],[  ]]*tblItems23[[#This Row],[Estimated]]</f>
        <v>0</v>
      </c>
      <c r="G30" s="16">
        <f>tblItems23[[#This Row],[  ]]*tblItems23[[#This Row],[Actual]]</f>
        <v>0</v>
      </c>
    </row>
    <row r="31" spans="2:7" x14ac:dyDescent="0.25">
      <c r="B31" s="5"/>
      <c r="C31" s="5"/>
      <c r="D31" s="12" t="s">
        <v>47</v>
      </c>
      <c r="E31" s="5"/>
      <c r="F31" s="16">
        <f>tblItems23[[#This Row],[  ]]*tblItems23[[#This Row],[Estimated]]</f>
        <v>0</v>
      </c>
      <c r="G31" s="16">
        <f>tblItems23[[#This Row],[  ]]*tblItems23[[#This Row],[Actual]]</f>
        <v>0</v>
      </c>
    </row>
    <row r="32" spans="2:7" x14ac:dyDescent="0.25">
      <c r="B32" s="5"/>
      <c r="C32" s="5"/>
      <c r="D32" s="12" t="s">
        <v>47</v>
      </c>
      <c r="E32" s="5"/>
      <c r="F32" s="16">
        <f>tblItems23[[#This Row],[  ]]*tblItems23[[#This Row],[Estimated]]</f>
        <v>0</v>
      </c>
      <c r="G32" s="16">
        <f>tblItems23[[#This Row],[  ]]*tblItems23[[#This Row],[Actual]]</f>
        <v>0</v>
      </c>
    </row>
    <row r="33" spans="2:7" x14ac:dyDescent="0.25">
      <c r="B33" s="5" t="s">
        <v>48</v>
      </c>
      <c r="C33" s="5"/>
      <c r="D33" s="12"/>
      <c r="E33" s="5"/>
      <c r="F33" s="16">
        <f>SUBTOTAL(109,tblItems23[[Estimated ]])</f>
        <v>0</v>
      </c>
      <c r="G33" s="16">
        <f>SUBTOTAL(109,tblItems23[[Actual ]])</f>
        <v>0</v>
      </c>
    </row>
  </sheetData>
  <pageMargins left="0.4" right="0.4" top="0.4" bottom="0.4" header="0.3" footer="0.3"/>
  <pageSetup orientation="landscape" horizontalDpi="4294967293" verticalDpi="599" r:id="rId1"/>
  <headerFooter differentFirst="1">
    <oddFooter xml:space="preserve">Page &amp;P of &amp;N&amp;L&amp;"arial,Regular"&amp;KBBBBBB
</oddFooter>
    <evenFooter>&amp;L&amp;"arial,Regular"&amp;KBBBBBB
&amp;CPage &amp;P of &amp;N</evenFooter>
    <firstFooter xml:space="preserve">&amp;L&amp;"arial,Regular"&amp;KBBBBBB
</firstFooter>
  </headerFooter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2:F8"/>
  <sheetViews>
    <sheetView showGridLines="0" workbookViewId="0">
      <selection activeCell="F4" sqref="F4"/>
    </sheetView>
  </sheetViews>
  <sheetFormatPr defaultRowHeight="13.5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</cols>
  <sheetData>
    <row r="2" spans="2:6" ht="27.75" x14ac:dyDescent="0.4">
      <c r="B2" s="24" t="s">
        <v>70</v>
      </c>
      <c r="C2" s="1"/>
      <c r="D2" s="1"/>
      <c r="E2" s="1"/>
      <c r="F2" s="1"/>
    </row>
    <row r="3" spans="2:6" ht="18" x14ac:dyDescent="0.25">
      <c r="B3" s="2" t="s">
        <v>53</v>
      </c>
      <c r="C3" s="2"/>
      <c r="D3" s="2"/>
    </row>
    <row r="5" spans="2:6" ht="15" x14ac:dyDescent="0.25">
      <c r="B5" s="13" t="s">
        <v>49</v>
      </c>
      <c r="C5" s="13" t="s">
        <v>1</v>
      </c>
      <c r="D5" s="13" t="s">
        <v>2</v>
      </c>
    </row>
    <row r="6" spans="2:6" ht="36.75" customHeight="1" x14ac:dyDescent="0.25">
      <c r="B6" s="14" t="s">
        <v>54</v>
      </c>
      <c r="C6" s="15">
        <f>'INCOME (3)'!F5</f>
        <v>9400</v>
      </c>
      <c r="D6" s="15">
        <f>'INCOME (3)'!G5</f>
        <v>0</v>
      </c>
    </row>
    <row r="7" spans="2:6" ht="36.75" customHeight="1" x14ac:dyDescent="0.25">
      <c r="B7" s="14" t="s">
        <v>55</v>
      </c>
      <c r="C7" s="15">
        <f>'EXPENSES (3)'!G5</f>
        <v>3560</v>
      </c>
      <c r="D7" s="15">
        <f>'EXPENSES (3)'!H5</f>
        <v>0</v>
      </c>
    </row>
    <row r="8" spans="2:6" ht="36.75" customHeight="1" x14ac:dyDescent="0.25">
      <c r="B8" s="14" t="s">
        <v>56</v>
      </c>
      <c r="C8" s="15">
        <f>C6-C7</f>
        <v>5840</v>
      </c>
      <c r="D8" s="15">
        <f>D6-D7</f>
        <v>0</v>
      </c>
    </row>
  </sheetData>
  <pageMargins left="0.4" right="0.4" top="0.4" bottom="0.4" header="0.3" footer="0.3"/>
  <pageSetup orientation="landscape" horizontalDpi="4294967293" verticalDpi="599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DASHBOARD</vt:lpstr>
      <vt:lpstr>EXPENSES</vt:lpstr>
      <vt:lpstr>INCOME</vt:lpstr>
      <vt:lpstr>Sheet1</vt:lpstr>
      <vt:lpstr>DASHBOARD (2)</vt:lpstr>
      <vt:lpstr>EXPENSES (2)</vt:lpstr>
      <vt:lpstr>INCOME (2)</vt:lpstr>
      <vt:lpstr>Sheet5</vt:lpstr>
      <vt:lpstr>DASHBOARD (3)</vt:lpstr>
      <vt:lpstr>EXPENSES (3)</vt:lpstr>
      <vt:lpstr>INCOME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Dreknox</dc:creator>
  <cp:keywords>No Restrictions</cp:keywords>
  <cp:lastModifiedBy>Corbin Blair</cp:lastModifiedBy>
  <dcterms:created xsi:type="dcterms:W3CDTF">2015-10-08T20:14:07Z</dcterms:created>
  <dcterms:modified xsi:type="dcterms:W3CDTF">2017-09-25T22:40:18Z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210e8bf7-c134-4ac3-b6e8-8a9235d60aaa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</Properties>
</file>